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501"/>
  <workbookPr codeName="ThisWorkbook" defaultThemeVersion="124226"/>
  <bookViews>
    <workbookView xWindow="30000" yWindow="1140" windowWidth="21600" windowHeight="1131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<sst xmlns="http://schemas.openxmlformats.org/spreadsheetml/2006/main" count="13049" uniqueCount="2904">
  <si>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</si>
  <si>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</si>
  <si>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</si>
  <si>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</si>
  <si>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</si>
  <si>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</si>
  <si>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</si>
  <si>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</si>
  <si>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</si>
  <si>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</si>
  <si>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</si>
  <si>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</si>
  <si>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</si>
  <si>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</si>
  <si>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</si>
  <si>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</si>
  <si>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</si>
  <si>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</si>
  <si>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</si>
  <si>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</si>
  <si>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</si>
  <si>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</si>
  <si>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</si>
  <si>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</si>
  <si>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</si>
  <si>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</si>
  <si>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</si>
  <si>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</si>
  <si>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</si>
  <si>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</si>
  <si>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</si>
  <si>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</si>
  <si>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</si>
  <si>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</si>
  <si>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</si>
  <si>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</si>
  <si>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</si>
  <si>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</si>
  <si>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</si>
  <si>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</si>
  <si>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</si>
  <si>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</si>
  <si>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</si>
  <si>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</si>
  <si>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</si>
  <si>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</si>
  <si>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</si>
  <si>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</si>
  <si>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</si>
  <si>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</si>
  <si>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</si>
  <si>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</si>
  <si>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</si>
  <si>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</si>
  <si>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</si>
  <si>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</si>
  <si>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</si>
  <si>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</si>
  <si>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</si>
  <si>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</si>
  <si>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</si>
  <si>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</si>
  <si>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</si>
  <si>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</si>
  <si>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</si>
  <si>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</si>
  <si>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</si>
  <si>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</si>
  <si>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</si>
  <si>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</si>
  <si>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</si>
  <si>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</si>
  <si>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</si>
  <si>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</si>
  <si>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</si>
  <si>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</si>
  <si>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</si>
  <si>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</si>
  <si>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</si>
  <si>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</si>
  <si>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</si>
  <si>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</si>
  <si>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</si>
  <si>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</si>
  <si>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</si>
  <si>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</si>
  <si>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</si>
  <si>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</si>
  <si>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</si>
  <si>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</si>
  <si>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</si>
  <si>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</si>
  <si>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</si>
  <si>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</si>
  <si>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</si>
  <si>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</si>
  <si>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</si>
  <si>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</si>
  <si>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</si>
  <si>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</si>
  <si>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</si>
  <si>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</si>
  <si>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</si>
  <si>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</si>
  <si>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</si>
  <si>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</si>
  <si>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</si>
  <si>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</si>
  <si>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</si>
  <si>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</si>
  <si>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</si>
  <si>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</si>
  <si>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</si>
  <si>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</si>
  <si>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</si>
  <si>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</si>
  <si>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</si>
  <si>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</si>
  <si>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</si>
  <si>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</si>
  <si>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</si>
  <si>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</si>
  <si>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</si>
  <si>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</si>
  <si>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</si>
  <si>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</si>
  <si>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</si>
  <si>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</si>
  <si>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</si>
  <si>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</si>
  <si>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</si>
  <si>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</si>
  <si>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</si>
  <si>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</si>
  <si>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</si>
  <si>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</si>
  <si>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</si>
  <si>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</si>
  <si>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</si>
  <si>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</si>
  <si>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</si>
  <si>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</si>
  <si>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</si>
  <si>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</si>
  <si>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</si>
  <si>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</si>
  <si>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</si>
  <si>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</si>
  <si>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</si>
  <si>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</si>
  <si>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</si>
  <si>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</si>
  <si>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</si>
  <si>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</si>
  <si>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</si>
  <si>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</si>
  <si>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</si>
  <si>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</si>
  <si>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</si>
  <si>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</si>
  <si>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</si>
  <si>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</si>
  <si>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</si>
  <si>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</si>
  <si>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</si>
  <si>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</si>
  <si>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</si>
  <si>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</si>
  <si>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</si>
  <si>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</si>
  <si>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</si>
  <si>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</si>
  <si>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</si>
  <si>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</si>
  <si>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&lt;value&gt;D:\NodeXL\_youtube&lt;/value&gt;
      &lt;/setting&gt;
    &lt;/ExportToPowerPointUserSettings&gt;
    &lt;ExportDataUserSettings&gt;
      &lt;setting name="BrandURL" serializeAs="String"&gt;
        &lt;value /&gt;
      &lt;/setting&gt;
      &lt;setting name="URL" serializeAs="String"&gt;
        &lt;value /&gt;
      &lt;/setting&gt;
      &lt;setting name="ActionLabel" serializeAs="String"&gt;
        &lt;value /&gt;
      &lt;/setting&gt;
      &lt;setting name="ActionURL" serializeAs="String"&gt;
        &lt;value /&gt;
  </t>
  </si>
  <si>
    <t>Workbook Settings 2</t>
  </si>
  <si>
    <t xml:space="preserve">    &lt;/setting&gt;
      &lt;setting name="BrandLogo" serializeAs="String"&gt;
        &lt;value /&gt;
      &lt;/setting&gt;
      &lt;setting name="Hashtag" serializeAs="String"&gt;
        &lt;value /&gt;
      &lt;/setting&gt;
    &lt;/ExportDataUserSettings&gt;
    &lt;AutoScaleUserSettings&gt;
      &lt;setting name="AutoScale" serializeAs="String"&gt;
        &lt;value&gt;True&lt;/value&gt;
      &lt;/setting&gt;
    &lt;/AutoScaleUserSettings&gt;
    &lt;PlugInUserSettings&gt;
      &lt;setting name="PlugInFolderPath" serializeAs="String"&gt;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 #nxlyoutube&lt;/value&gt;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</si>
  <si>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</si>
  <si>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</si>
  <si>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</si>
  <si>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</si>
  <si>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</si>
  <si>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</si>
  <si>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</si>
  <si>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</si>
  <si>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</si>
  <si>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</si>
  <si>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</si>
  <si>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</si>
  <si>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</si>
  <si>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</si>
  <si>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</si>
  <si>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</si>
  <si>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</si>
  <si>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 xml:space="preserve">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&lt;value&gt;Smartkiwis&lt;/value&gt;
    </t>
  </si>
  <si>
    <t xml:space="preserve">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recommended YouTube videos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t>
  </si>
  <si>
    <t xml:space="preserve">  &lt;/setting&gt;
      &lt;setting name="WordMetricUserSettings" serializeAs="String"&gt;
        &lt;value&gt;CalculateSentiment░True▓TextColumnIsOnEdgeWorksheet░False▓TextColumnName░Tags▓CountByGroup░True▓SkipSingleTerms░True▓WordsToSkip░0 1 2 3 4 5 6 7 8 9 39 #39 a á à â å ä ã able about above abroad abst accordance according accordingly across act actually ad added adj adopted ae af affected affecting affects after afterwards ag again against ago ah ahead ai ain't aint al all allow allows almost alone along alongside already also although always am amid amidst among amongst amoungst amount amp amp an and announce another any anybody anyhow anymore anyone anything anyway anyways anywhere ao apart apparently appear appreciate appropriate approximately aq ar are area areas aren aren't arent arise around arpa as aside ask asked asking asks aspx associated at au auth available aw away awfully az b ba back backed backing backs backward backwards bb bd be became because become becomes becoming been before beforehand began begin beginning beginnings begins behind being beings believe below beside besides best better between beyond bf bg bh bi big bill billion biol bj bm bn bo both bottom br br brief briefly bs bt but buy bv bw by bz c c'mon c's ca call came can can't cannot cant caption case cases cause causes cc cd certain certainly cf cg ch changes channel ci ck cl clear clearly click cm cmon cn co com come comes computer con concerning consequently consider considering contain containing contains copy corresponding could could've couldn couldn't couldnt course cr cry cs cu currently cv cx cy cz d ð dare daren't darent date de dear definitely describe described despite detail did didn didn't didnt differ different differently directly dj dk dm do does doesn doesn't doesnt doing don don't done dont doubtful down downed downing downs downwards due during ðÿ ðÿš dz e é è each early ec ed edu ee effect eg eh eight eighty either eleven else elsewhere empty end ended ending ends enough entirely er es especially et et-al etc even evenly ever evermore every everybody everyone everything everywhere ex exactly example except f face faces fact facts fairly far farther felt few fewer ff fi fifteen fifth fifty fify fill find finds fire first five fix fj fk fm fo follow followed following follows for forever former formerly forth forty forward found four fr free from front full fully further furthered furthering furthermore furthers fx g ga gave gb gd ge general generally get gets getting gf gg gh gi give given gives giving gl gm gmt gn go goes going gone good goods got gotten gov gp gq gr great greater greatest greetings group grouped grouping groups gs gt gu gw gy h had hadn't hadnt half happens hardly has hasn hasn't hasnt have haven haven't havent having he he'd he'll he's hed hell hello help hence her here here's hereafter hereby herein heres hereupon hers herse” herself hes hi hid high higher highest him himse” himself his hither hk hm hn home homepage hopefully how how'd how'll how's howbeit however hr href href ht htm html html http http https hu hundred i ï i.e. i'd i'll i'm i've id ie if ignored ii il ill im immediate immediately importance important in inasmuch inc indeed index indicate indicated indicates information inner inside insofar instead int interest interested interesting interests into invention inward io iq ir is isn isn't isnt it it'd it'll it's itd itll its itse” itself ive j je jm jo join jp just k kanal ke keep keeps kept keys kg kh ki kind km kn knew know known knows kp kr kw ky kz l la large largely last lately later latest latter latterly lb lc least length less lest let let's lets li like liked likely likewise line little lk ll ll long longer longest look looking looks low lower lr ls lt ltd lu lv ly m ma made mainly make makes making man many may maybe mayn't maynt mc md me mean means meantime meanwhile member members men merely mg mh microsoft might might've mightn't mightnt mil mill million mine minus miss mk ml mm mn mo more moreover most mostly move mp mq mr mrs ms msie mt mu much mug must must've mustn't mustnt mv mw mx my myse myself mz n ñ  na name namely nay nc nd ne near nearly necessarily necessary need needed needing needn't neednt needs neither net netscape never neverf neverless nevertheless new newer newest next nf ng ni nine ninety nl no no-one nobody non none nonetheless noone nor normally nos not noted nothing notwithstanding novel now nowhere np nr nu null number numbers nz o ó ò ö obtain obtained obviously of off official offiziell offizielle often oh ok okay old older oldest om omitted on once one one's ones only onto open opened opening opens opposite or ord order ordered ordering orders org other others otherwise ought oughtn't oughtnt our ours ourselves out outside over overall owing own p pa page page pages pages part parted particular particularly parting parts past pe per perhaps pf pg ph pk pl place placed places please plus pm pmid pn point pointed pointing points poorly possible possibly post posts potentially pp pr predominantly present presented presenting presents presumably previously primarily probably problem problems promptly proud provided provides pt put puts pw py q qa que quickly quite quot quot qv r ran rather rd re readily really reasonably recent recently ref refs regarding regardless regards related relatively research reserved respectively resulted resulting results right ring ro room rooms round rt ru run rw s sa said same saw say saying says sb sc sd se sec second secondly seconds section see seeing seem seemed seeming seems seen sees self selves sensible sent serious seriously seven seventy several sg sh shall shan't shant she she'd she'll she's shed shell shes should should've shouldn shouldn't shouldnt show showed showing shown showns shows si side sides significant significantly similar similarly since sincere site six sixty sj sk sl slightly sm small smaller smallest sn so some somebody someday somehow someone somethan something somet</t>
  </si>
  <si>
    <t>ime sometimes somewhat somewhere soon sorry specifically specified specify specifying sr ß st state states still stop strongly su sub subscribe substantially successfully such sufficiently suggest sup sure sv sy system sz t t's take taken taking tc td tell ten tends test text tf tg th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thick thin thing things think thinks third thirty this thorough thoroughly those thou though thoughh thought thoughts thousand three throug through throughout thru thus til till tip tis tis tj tk tm tn to today together too took top toward towards tp tr tried tries trillion truly try trying ts tt turn turned turning turns tv tw twas twas twelve twenty twice two tz u ú ù ü ua ug uk um un under underneath undoing unfortunately unless unlike unlikely until unto up upon ups upwards url us use used useful usefully usefulness uses using usually uucp uy uz v va value various vc ve versus very vg vi via video viz vn vol vols vs vu w want wanted wanting wants was wasn wasn't wasnt watch way ways we we'd we'll we're we've web webpage website wed welcome well wells went were weren weren't werent weve wf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widely width will willing wish with within without won won't wonder wont words work worked working works world would would've wouldn wouldn't wouldnt ws www x y ye year years yes yet you you'd you'll you're you've youd youll young younger youngest your youre yours yourself yourselves youtu youtube youve yt yu z za zero zm zr▓SentimentList1Name░List1▓SentimentList2Name░List2▓SentimentList3Name░List3▓SentimentList1FriendlyName░Positive▓SentimentList2FriendlyName░Negative▓SentimentList3FriendlyName░(Add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t>
  </si>
  <si>
    <t>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t>
  </si>
  <si>
    <t>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t>
  </si>
  <si>
    <t>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t>
  </si>
  <si>
    <t>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t>
  </si>
  <si>
    <t>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t>
  </si>
  <si>
    <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t>
  </si>
  <si>
    <t xml:space="preserve">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t>
  </si>
  <si>
    <t>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t>
  </si>
  <si>
    <t>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t>
  </si>
  <si>
    <t>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t>
  </si>
  <si>
    <t xml:space="preserve">restle wretch wretched wretchedly wretchedness wrinkle wrinkled wrinkles wrip wripped wripping writhe wrong wrongful wrongly wrought yawn zap zapped zaps zealot zealous zealously zombie▓AddVertexContent░False▓AddWordList░False&lt;/value&gt;
      &lt;/setting&gt;
      &lt;setting name="TimeSeriesUserSettings" serializeAs="String"&gt;
        &lt;value&gt;TimeColumnName░Publishet At▓TimeSlice░Days▓UniqueEdges░False&lt;/value&gt;
      &lt;/setting&gt;
      &lt;setting name="NetworkTopItemsListUserSettings" serializeAs="Xml"&gt;
        &lt;value&gt;
          &lt;NetworkTopItemsListUserSettings xmlns:xsd="http://www.w3.org/2001/XMLSchema"
            xmlns:xsi="http://www.w3.org/2001/XMLSchema-instance"&gt;
            &lt;IsEdgeColumn&gt;false&lt;/IsEdgeColumn&gt;
            &lt;StatusColumnName&gt;Tags&lt;/StatusColumnName&gt;
            &lt;TopTweetersMentionedRepliedTo&gt;false&lt;/TopTweetersMentionedRepliedTo&gt;
            &lt;NetworkTopItemsUserSettingsToCalculate /&gt;
          &lt;/NetworkTopItemsListUserSettings&gt;
        &lt;/value&gt;
      &lt;/setting&gt;
      &lt;setting name="OverallMetricsUserSettings" serializeAs="String"&gt;
        &lt;value&gt;ColumnNameForEdgeType░Comment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&lt;value&gt;Out-Degree&lt;/value&gt;
      &lt;/setting&gt;
      &lt;setting name="EdgeVisibilitySourceColumnName" serializeAs="String"&gt;
        &lt;value /&gt;
      &lt;/setting&gt;
      &lt;setting name="VertexLayoutOrderSourceColumnName" serializeAs="String"&gt;
        &lt;value&gt;Views&lt;/value&gt;
      &lt;/setting&gt;
      &lt;setting name="VertexToolTipSourceColumnName" serializeAs="String"&gt;
        &lt;value&gt;Title&lt;/value&gt;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0 Lime Fuchsia False False True&lt;/value&gt;
      &lt;/setting&gt;
      &lt;setting name="EdgeAlphaDetails" serializeAs="String"&gt;
        &lt;value&gt;False False 0 0 25 15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50 100 True False&lt;/value&gt;
      &lt;/setting&gt;
      &lt;setting name="EdgeWidthDetails" serializeAs="String"&gt;
        &lt;value&gt;False False 0 0 5 10 False False&lt;/value&gt;
      &lt;/setting&gt;
      &lt;setting name="GroupCollapsedDetails" serializeAs="String"&gt;
      </t>
  </si>
  <si>
    <t xml:space="preserve">  &lt;value&gt;GreaterThan 0 Yes No&lt;/value&gt;
      &lt;/setting&gt;
      &lt;setting name="VertexRadiusDetails" serializeAs="String"&gt;
        &lt;value&gt;False False 0 0 100 1000 False False&lt;/value&gt;
      &lt;/setting&gt;
      &lt;setting name="VertexXDetails" serializeAs="String"&gt;
        &lt;value&gt;False False 0 0 0 9999 False False&lt;/value&gt;
      &lt;/setting&gt;
      &lt;setting name="EdgeColorDetails" serializeAs="String"&gt;
        &lt;value&gt;False False 0 0 Aqua White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Tags&lt;/value&gt;
      &lt;/setting&gt;
      &lt;setting name="GroupLabelDetails" serializeAs="String"&gt;
        &lt;value&gt;True&lt;/value&gt;
      &lt;/setting&gt;
    &lt;/AutoFillUserSettings3&gt;
    &lt;LayoutUserSettings&gt;
      &lt;setting name="Layout" serializeAs="String"&gt;
        &lt;value&gt;Grid&lt;/value&gt;
      &lt;/setting&gt;
      &lt;setting name="LayoutStyle" serializeAs="String"&gt;
        &lt;value&gt;UseGroups&lt;/value&gt;
      &lt;/setting&gt;
      &lt;setting name="GroupRectanglePenWidth" serializeAs="String"&gt;
        &lt;value&gt;1&lt;/value&gt;
      &lt;/setting&gt;
      &lt;setting name="FruchtermanReingoldC" serializeAs="String"&gt;
        &lt;value&gt;2&lt;/value&gt;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&lt;value&gt;0, 0, 64&lt;/value&gt;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&lt;value&gt;10&lt;/value&gt;
      &lt;/setting&gt;
      &lt;setting name="AutoSelect" serializeAs="String"&gt;
        &lt;value&gt;True&lt;/value&gt;
      &lt;/setting&gt;
      &lt;setting name="LabelUserSettings" serializeAs="String"&gt;
        &lt;value&gt;Microsoft Sans Serif, 36pt White BottomCenter 30 2147483647 Black True 419 White 80 TopCenter Microsoft Sans Serif, 48pt Microsoft Sans Serif, 8.25pt&lt;/value&gt;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&lt;value&gt;OuterGlow&lt;/value&gt;
      &lt;/setting&gt;
      &lt;setting name="EdgeBundlerStraightening" serializeAs="String"&gt;
        &lt;value&gt;0.15&lt;/value&gt;
      &lt;/setting&gt;
    &lt;/GeneralUserSettings4&gt;
    &lt;GraphZoomAndScaleUserSettings&gt;
  </t>
  </si>
  <si>
    <t xml:space="preserve">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</si>
  <si>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Autofill Workbook Results</t>
  </si>
  <si>
    <t>Graph History</t>
  </si>
  <si>
    <t>Relationship</t>
  </si>
  <si>
    <t>Comment Type</t>
  </si>
  <si>
    <t>Comment</t>
  </si>
  <si>
    <t>Author Channel ID</t>
  </si>
  <si>
    <t>Author Display Name</t>
  </si>
  <si>
    <t>Author Channel URL</t>
  </si>
  <si>
    <t>Parent ID</t>
  </si>
  <si>
    <t>Video ID</t>
  </si>
  <si>
    <t>Video URL</t>
  </si>
  <si>
    <t>Viewer Rating</t>
  </si>
  <si>
    <t>Like Count</t>
  </si>
  <si>
    <t>Published At</t>
  </si>
  <si>
    <t>Updated At</t>
  </si>
  <si>
    <t>URLs In Comment</t>
  </si>
  <si>
    <t>Domains In Comment</t>
  </si>
  <si>
    <t>Hashtags In Comment</t>
  </si>
  <si>
    <t>UCMl3afIMrSgo2RkmXlkobrw</t>
  </si>
  <si>
    <t>UCis8FBpAVwUgCs9fHqtnCog</t>
  </si>
  <si>
    <t>UCCXfrpKuxWRh75P8FY_nMVA</t>
  </si>
  <si>
    <t>UCPNBoPeYNxOkroPwGxLdfmA</t>
  </si>
  <si>
    <t>UCTJ2WEBVYogtzAOA65YMQyw</t>
  </si>
  <si>
    <t>UCcEsH39QPcJXhnGD2sdbnLA</t>
  </si>
  <si>
    <t>UCldD7bTY9nesJhKHYTHJxpQ</t>
  </si>
  <si>
    <t>UC7QjSOQ4lGY3IFNTpxWJYqw</t>
  </si>
  <si>
    <t>UC_H6K2-DSeDXUuMjGmuSmBA</t>
  </si>
  <si>
    <t>UCUDJTNrDc_nju8c7IaA_ntQ</t>
  </si>
  <si>
    <t>UCYSALmaMx_0V1ykA5Uqgn0w</t>
  </si>
  <si>
    <t>UC-ygckEHTVwRMZi9LVsf80A</t>
  </si>
  <si>
    <t>UCCYIWPy2scsIGJrXT0kgUAw</t>
  </si>
  <si>
    <t>UCGXDLzbl0ksOun3nlvAr9eQ</t>
  </si>
  <si>
    <t>UCdzpuJiYaTApFvutghFHd5A</t>
  </si>
  <si>
    <t>UC5O_YHYA-2CwAn7tJL9yUzA</t>
  </si>
  <si>
    <t>UC8bKlk-DIJYq9qktzqLojaQ</t>
  </si>
  <si>
    <t>UCWebd4X9IQn0Akf4h_y6dZQ</t>
  </si>
  <si>
    <t>UCLQJf_7sxppKIfXZTY8Oe-w</t>
  </si>
  <si>
    <t>UCdp9-mg6d5lS9PwvMrPEPpw</t>
  </si>
  <si>
    <t>UCq8J60ZKx-MCnUnARTOhA3g</t>
  </si>
  <si>
    <t>UCHOII6DuvqAl0QGk6HWdEtg</t>
  </si>
  <si>
    <t>UC1Sb6Fskyuo9ho4uLU4xGHA</t>
  </si>
  <si>
    <t>UCXUs_nk0mXyVs9w2nSQ2L0w</t>
  </si>
  <si>
    <t>UC287WsW462sPDKVqfubq6PA</t>
  </si>
  <si>
    <t>UC9mqn6pJjj7mU_EAtN1vn0Q</t>
  </si>
  <si>
    <t>UCfGeZ-TZjsuVnnKeSTHYGsQ</t>
  </si>
  <si>
    <t>UCNYzG0rGEEtAe7Jz4MxlBQg</t>
  </si>
  <si>
    <t>UCNAx0n6Cguqcc8E3AleZ8Aw</t>
  </si>
  <si>
    <t>UCz06cOiRrG5whrG--z9sonQ</t>
  </si>
  <si>
    <t>UCEECRK7IVPi6dMaJR_TtZrg</t>
  </si>
  <si>
    <t>UCq67-V8cROcR_kfKgydP44g</t>
  </si>
  <si>
    <t>UCUme9NF3IJ3-Z0Cv5hdxu1w</t>
  </si>
  <si>
    <t>UCPPkB29U_lNgZe818Dp-xfw</t>
  </si>
  <si>
    <t>UC6TZ9xUe2FSnXGUC1bgfPdQ</t>
  </si>
  <si>
    <t>UCGHpBeASXblHkCziYGirKAA</t>
  </si>
  <si>
    <t>UCCFs1cpuTaFDUQcRXN7cDbA</t>
  </si>
  <si>
    <t>UCgUOUdLqn3b6qkaAeDZkj4g</t>
  </si>
  <si>
    <t>UC6ZVGBscqtypajabmP_MJjA</t>
  </si>
  <si>
    <t>UCGsDSqEabT1UvQWokuhfMaA</t>
  </si>
  <si>
    <t>UC4mWQROUZJVPXNCEARxkNZA</t>
  </si>
  <si>
    <t>UC4_kPHzxL9msQlQCMFLVsDA</t>
  </si>
  <si>
    <t>UCKSbx6lNcMvT5esoEADAlDw</t>
  </si>
  <si>
    <t>UCybLfpPKeh56DfJQPrmAPzg</t>
  </si>
  <si>
    <t>UCboW-6Dhq34vMlhoRWDUazw</t>
  </si>
  <si>
    <t>UCwxYY9Aa1wnn7ENO-TMs1Cw</t>
  </si>
  <si>
    <t>UCpDMjexIM1Fs2QwTzRXiUEg</t>
  </si>
  <si>
    <t>UCt_JtyPqPReLXqUjXEMFY9w</t>
  </si>
  <si>
    <t>UCdx3jSeo4KNSXS4bBXIah2w</t>
  </si>
  <si>
    <t>UCI6WGi4DKkaaBl__rBvifGQ</t>
  </si>
  <si>
    <t>UCsyr8XkjlSTpc3VH-7WEjyg</t>
  </si>
  <si>
    <t>UC1a95iE5mPg887BjqnMFdZw</t>
  </si>
  <si>
    <t>UCDiU_lBNmxqRSRbFOqFnLwA</t>
  </si>
  <si>
    <t>UCk0gbacQnNze9OWsyJS-RpA</t>
  </si>
  <si>
    <t>UCavsA-EWpoXsgT6tG7C5msg</t>
  </si>
  <si>
    <t>UCA7-CAF-3M2q2BoR-HulA7A</t>
  </si>
  <si>
    <t>UCoy72i44cGE_0uglc0FXLGA</t>
  </si>
  <si>
    <t>UCtlCxUfwi1QLqvlxpzNAckA</t>
  </si>
  <si>
    <t>UCAgZ0RM8PeKgZZifulZGL6g</t>
  </si>
  <si>
    <t>UCmnFIlbqVbLGPjZCoXj4oJg</t>
  </si>
  <si>
    <t>UCqhr5Tcm2qbJzvLnbxsealQ</t>
  </si>
  <si>
    <t>UCVOBi0UXAKcEk0z471Qf-DA</t>
  </si>
  <si>
    <t>UCEgERZfssXDplwE7uqarTuw</t>
  </si>
  <si>
    <t>UCswmRNiUXzVF_uC4MuE1dWw</t>
  </si>
  <si>
    <t>UC45AoGgZyWrW0zhS3Q-WRyw</t>
  </si>
  <si>
    <t>UCrjpgaTooj-Ar76N7gwpjtw</t>
  </si>
  <si>
    <t>UCZzREx42uKVp4t8DHR9syDA</t>
  </si>
  <si>
    <t>UCvA7Qp20pFtHnFx1oqhAtXA</t>
  </si>
  <si>
    <t>UCGXvahpJZ8DpiwAjP22Kxkw</t>
  </si>
  <si>
    <t>UCAcSQIhVSNA0EuCKCVwlUiw</t>
  </si>
  <si>
    <t>UCh1ZsbfioSYZ54V8mfZzfQg</t>
  </si>
  <si>
    <t>UCs8KfUDAdLWkqqGltG6mykQ</t>
  </si>
  <si>
    <t>UCJira_a5E9_Er33S-dLTXOQ</t>
  </si>
  <si>
    <t>UCKdyxUtdVmwmDjyEbOkxc8Q</t>
  </si>
  <si>
    <t>UCvN1q4Dzs91ltXmTQndq7Lw</t>
  </si>
  <si>
    <t>UC_I1UfRImmzpJVCelpwYghQ</t>
  </si>
  <si>
    <t>UCaaT9I_B8FulJiudAwFFRKA</t>
  </si>
  <si>
    <t>UCt1cvk83Ici3SgAyvL6o29A</t>
  </si>
  <si>
    <t>UC7rS5qZMorW-N_t3ZlZV2jQ</t>
  </si>
  <si>
    <t>UCP8qyHZSfBimaVpysHmHsEA</t>
  </si>
  <si>
    <t>UCtYoFY3SljQgjmHSzsxZYww</t>
  </si>
  <si>
    <t>UCuxvw14xy4XJ3Fee6z3T94g</t>
  </si>
  <si>
    <t>UCrxK6K_iYUTWw-K7TvwXZlw</t>
  </si>
  <si>
    <t>UCBbaYkOHMA3ONl9Hy2vaqgQ</t>
  </si>
  <si>
    <t>UCU4OTaFyRFv5v4zWbMOfLKw</t>
  </si>
  <si>
    <t>UCFNZkc5TIazE3hsUUsG4Mug</t>
  </si>
  <si>
    <t>UCkxDs3hghE3W3GfMwf2HjXg</t>
  </si>
  <si>
    <t>UCdkVsykHG4teojKpDJ7-n9g</t>
  </si>
  <si>
    <t>UCLdat-IuWhwjM_RUyjQ99nQ</t>
  </si>
  <si>
    <t>UC1NI1UZs29qeVJzkvTrJabw</t>
  </si>
  <si>
    <t>UC4IJp6gm5YFySJVfeHs3fEw</t>
  </si>
  <si>
    <t>UCeGa5FIY31wzupUsnFNWEJQ</t>
  </si>
  <si>
    <t>UC1XPJ5vLtXBZTfibRvUtRtQ</t>
  </si>
  <si>
    <t>UC8snplx2TiU5gGqiz0U1qIA</t>
  </si>
  <si>
    <t>UC5P23b4KYX5N4tjeS63xC9g</t>
  </si>
  <si>
    <t>UCYln4qk3saFeNWFq8nd7KKA</t>
  </si>
  <si>
    <t>UCAS2BN5rQ4UWOT4iFcaezAQ</t>
  </si>
  <si>
    <t>UCEY44ER-URmrBNbhnFG6elA</t>
  </si>
  <si>
    <t>UCRG4Q5V4apEvXyyvDNKXRLw</t>
  </si>
  <si>
    <t>UCr_PxAeXEoLiQejFpVmky3Q</t>
  </si>
  <si>
    <t>UCUnSTNtMoVuB-870zPeM-Gg</t>
  </si>
  <si>
    <t>UCQtnLw3C-0E5goSfg3f3mRQ</t>
  </si>
  <si>
    <t>UCZO94MPPG9gbwh5a96W11RQ</t>
  </si>
  <si>
    <t>UCvzFttdOsBMBgmqLG_hWx1g</t>
  </si>
  <si>
    <t>UC9_LBTcU2WReH0oYTSIBSag</t>
  </si>
  <si>
    <t>UCc5sSVJ3ob6HDvZ_rbwutHQ</t>
  </si>
  <si>
    <t>UCj_SCJYU_n4KNHdO2LCalaw</t>
  </si>
  <si>
    <t>UCJKyUE6bvL2CQcbRGOUDCTQ</t>
  </si>
  <si>
    <t>UCUDTCHsE7qwTvgknRAsQoyA</t>
  </si>
  <si>
    <t>UCqrgzoNe8YdlyQTSatFkIMg</t>
  </si>
  <si>
    <t>UCXxmP0ak59EVuBlVSuP1EmQ</t>
  </si>
  <si>
    <t>UC2l0tg_qVj0y20_ZqjikdGw</t>
  </si>
  <si>
    <t>UCh9TC41YxpXHKSHfBys_aDA</t>
  </si>
  <si>
    <t>UC_Bmf2zjM0c1R2accRinFtQ</t>
  </si>
  <si>
    <t>UC9RWOfXj3WGymaMynr9mb3Q</t>
  </si>
  <si>
    <t>UC0mxCsjF8pf3tsiTC6lMdng</t>
  </si>
  <si>
    <t>UCg3JP4uITyQZBSRFjWKfrEQ</t>
  </si>
  <si>
    <t>UCwprw78eegW7SNWD9dVPW0Q</t>
  </si>
  <si>
    <t>UCdhRwatBmjUKAkV_szyimFA</t>
  </si>
  <si>
    <t>UCFexwVcT-E1erdHRBETAccQ</t>
  </si>
  <si>
    <t>UCfBkohNd5NTAvR-tXjceIbg</t>
  </si>
  <si>
    <t>UCj4xHrv65XTxE78cv-J4l_w</t>
  </si>
  <si>
    <t>UCvLGGqDmzPLsOBI1pfmU3dA</t>
  </si>
  <si>
    <t>UCZys9czpXl4i_mQCikGuHbQ</t>
  </si>
  <si>
    <t>UCnLqrdCQ46RiHg4vXINPKGA</t>
  </si>
  <si>
    <t>UCbMeIKHrk_YIC5ZHX_kRdpw</t>
  </si>
  <si>
    <t>UCwmTFJqNyteQHyeR2wbVcfQ</t>
  </si>
  <si>
    <t>UCZs-kiQQ9mhe4W36Z4st32w</t>
  </si>
  <si>
    <t>UCBVDQ2ttPEi19aYBMhzUUpw</t>
  </si>
  <si>
    <t>UC3pcN23LvBNoYc1-im8zJVw</t>
  </si>
  <si>
    <t>UCbT9D2gRod5rrcQmHVclgmg</t>
  </si>
  <si>
    <t>UC8tGMCWGpGyKpr03A3OfgaA</t>
  </si>
  <si>
    <t>UCV7xNhQkzhRIwkxZ4SwJmfA</t>
  </si>
  <si>
    <t>UCaLlHiSAUw1YPuAT9IUrMOw</t>
  </si>
  <si>
    <t>UCcn0cZGtTWygUug8CpHxv0Q</t>
  </si>
  <si>
    <t>UCAlQVG7X6q6up2bp3uqiQJg</t>
  </si>
  <si>
    <t>UChXAlJtwAr0jfbPXDxtE-yQ</t>
  </si>
  <si>
    <t>UCV8NpeOl3tbwwa-NU-fB5pA</t>
  </si>
  <si>
    <t>UCC4NG14Z3qrcu9bS842aLWQ</t>
  </si>
  <si>
    <t>UCGl6y17ZnOoHzf2p-siY-ig</t>
  </si>
  <si>
    <t>UCITbQaITvD5Qpg4ByBhcaSw</t>
  </si>
  <si>
    <t>UClGpecWoJmpcG9uBcKUUhnA</t>
  </si>
  <si>
    <t>UCXrQz4atK_NHL3_unEYsntg</t>
  </si>
  <si>
    <t>UCV5q9jHkCWujPT_lJOzakoA</t>
  </si>
  <si>
    <t>UCuES1hL9IQLMyztR5mEU2wg</t>
  </si>
  <si>
    <t>UCixLnYa4n6LmG8-vSAmAOog</t>
  </si>
  <si>
    <t>UCEufnY_SkNkztDUVI27j9CQ</t>
  </si>
  <si>
    <t>UCwGT79milQt4vkImMJjKaKg</t>
  </si>
  <si>
    <t>UCBZ-5muILT0Ok8LL8PDb0jQ</t>
  </si>
  <si>
    <t>UCN7FBhlVPEavc63LoZS75_g</t>
  </si>
  <si>
    <t>UCQ9n58IF50mO518MQunnXtQ</t>
  </si>
  <si>
    <t>UCvTmukWsgcWGZt5iy-eicHQ</t>
  </si>
  <si>
    <t>UCeoYlyodM1H74T0kBzl6oXw</t>
  </si>
  <si>
    <t>UCdP37gap51bObyiHECeen1Q</t>
  </si>
  <si>
    <t>UCOOS_hqq0eVtTWc0FsyjCrA</t>
  </si>
  <si>
    <t>UCYMRmke8t4Dkym-3zI_yqjg</t>
  </si>
  <si>
    <t>UC2vYA1dKaIZt4lvp9q39Zsg</t>
  </si>
  <si>
    <t>UC23kNc2jtONpt3oK3mjUn8g</t>
  </si>
  <si>
    <t>UCMQ6X7lnyBPxEvRdIaw-Fzw</t>
  </si>
  <si>
    <t>UCotYsw64baD7u3cHwgNgtNQ</t>
  </si>
  <si>
    <t>UCM_CoWRsOFxIjHIbj8qk0mw</t>
  </si>
  <si>
    <t>UCyRLj8raQ-tOBLaCO0I82Ng</t>
  </si>
  <si>
    <t>UCrBJcT_sItIaC5HIjTNYCXA</t>
  </si>
  <si>
    <t>UCevWhyTPCHqF3vRb7kTCzcw</t>
  </si>
  <si>
    <t>UCOJiq8sbgB7MZvNJULhw18w</t>
  </si>
  <si>
    <t>UCDEZHY8zItSXUC-LUMGhu7w</t>
  </si>
  <si>
    <t>UCfI__YC1RicTm8JtPBgEi9Q</t>
  </si>
  <si>
    <t>UCt7zocCBJdxjc8Ej-znNG2A</t>
  </si>
  <si>
    <t>UCsHWNy1MRtuZ_COs0cQdPKg</t>
  </si>
  <si>
    <t>UCVdBn5HpwRCfr0wwU2DSMwQ</t>
  </si>
  <si>
    <t>UCeZQY5O5qfFKAIig8QpKeuA</t>
  </si>
  <si>
    <t>UCGpgo7BwxTLBdcM2ftRZYaA</t>
  </si>
  <si>
    <t>UCPJGkKl7Re6jvJbQcWnDHpQ</t>
  </si>
  <si>
    <t>UCFxkTU2ymnoXc2jGW4HaL_A</t>
  </si>
  <si>
    <t>UChCbpusxdtcFBC19nnBvYWw</t>
  </si>
  <si>
    <t>UC6ADTGO5lln1FoeyvSO1YRg</t>
  </si>
  <si>
    <t>UCk3TJwfRUWpcD6nsnss91UA</t>
  </si>
  <si>
    <t>UC3-VcpO3STysmhD1ViXpbiQ</t>
  </si>
  <si>
    <t>UCfUo6rfr6H6vH7ERTyAgb8w</t>
  </si>
  <si>
    <t>UC3pADvUbl5ANFy1cZmYrIMQ</t>
  </si>
  <si>
    <t>UC6y-fUkvvq-553UENJ0ShMw</t>
  </si>
  <si>
    <t>UCOURAi9rQpmQOnDBx2q9Z5A</t>
  </si>
  <si>
    <t>UCw2TBAxkbC12wt1bnUmbm1w</t>
  </si>
  <si>
    <t>UCoFKSGQGP8P92wFg0FXWMJA</t>
  </si>
  <si>
    <t>UCDnI6cZ3AdUPrKWtbUDRc0w</t>
  </si>
  <si>
    <t>UC1fFSFMfHPKMAxUf4VBsBdQ</t>
  </si>
  <si>
    <t>UCoSRMdFpGKiBWV8xaY7u-YA</t>
  </si>
  <si>
    <t>UCFng6Aey2LdahbQEq7nJZMQ</t>
  </si>
  <si>
    <t>UCqZ6CO4dA0WitpXJlANghRQ</t>
  </si>
  <si>
    <t>UC-RVv2qf0EqYivlNPPlj6xQ</t>
  </si>
  <si>
    <t>UC19k4LxgCVSjWv7NZOvNeeA</t>
  </si>
  <si>
    <t>UCyy9nWYtqw4Tx-bcdntpHsw</t>
  </si>
  <si>
    <t>UCZ0JaTrkNhmphpDTEvb_-5Q</t>
  </si>
  <si>
    <t>UCfQ_XYXvsh7gufKguHc_p5A</t>
  </si>
  <si>
    <t>UCsnwGu-1Wl_4cx-U7ptdjAA</t>
  </si>
  <si>
    <t>UCBFJuNuNt0Slz7rIv4EeHxg</t>
  </si>
  <si>
    <t>UChhnlW9OkCjdinvmKgxt7sg</t>
  </si>
  <si>
    <t>UC1Tq0qhsWTNePsMJeKVuPZA</t>
  </si>
  <si>
    <t>UCpO_ZS7vVPS2MsFgySn5LRQ</t>
  </si>
  <si>
    <t>UCNu2EinLOnfvasdXkbv6n4w</t>
  </si>
  <si>
    <t>UCV39ok_BIsRoWbqdTRsi84w</t>
  </si>
  <si>
    <t>UCsCNgXBYEKEfv5id6XM0DaQ</t>
  </si>
  <si>
    <t>UC5tdeIiQq5xKKENaCw8Fung</t>
  </si>
  <si>
    <t>UCd3oOj9b8aBbg3cVL9z7wpQ</t>
  </si>
  <si>
    <t>UCvenNaUPHhrEPUtaFLX3fow</t>
  </si>
  <si>
    <t>UCTDf1TcecVPO5uPX-YmK2bA</t>
  </si>
  <si>
    <t>UCUMe8TJDCQYzEFSdBkUwHjw</t>
  </si>
  <si>
    <t>UCDaK1BrtB4BmUM0WtD6z0mg</t>
  </si>
  <si>
    <t>UCrz_aNtIibbozyYJNJH3nRw</t>
  </si>
  <si>
    <t>UCWL5gY_M9yIJzvstnbmE91A</t>
  </si>
  <si>
    <t>UC7f3POpPsIUBTAOKeKYBjyw</t>
  </si>
  <si>
    <t>UCmIhERFSTHWemtXZ7dso_Jg</t>
  </si>
  <si>
    <t>UCbvRGz-VcM0ZqWxfizsKclA</t>
  </si>
  <si>
    <t>UCSTJQpdl54T-zT7KY6CmJ1A</t>
  </si>
  <si>
    <t>UCOXYpUYts-Yt1eqnRs3jHHQ</t>
  </si>
  <si>
    <t>UCJ1ApH1Sg35KKhNXtTb1NVg</t>
  </si>
  <si>
    <t>UClP4aIHvSOEzpH0AmDUrcDQ</t>
  </si>
  <si>
    <t>UCIRJt-3LzwPf7zhPitIrF5g</t>
  </si>
  <si>
    <t>UC8S_OHhL9LUHNqrpP1JBb7w</t>
  </si>
  <si>
    <t>UCx9V8F0H9tU2sgHRd9kpAuA</t>
  </si>
  <si>
    <t>UCms8qXNIZGGtMOGhqzgQ_dg</t>
  </si>
  <si>
    <t>UCf5igCIlbW-63caczX4QvNw</t>
  </si>
  <si>
    <t>UCE4dQSL_rNeuCUyOvkczHNQ</t>
  </si>
  <si>
    <t>UCw-lHo0SengfKCOWsiLRwKg</t>
  </si>
  <si>
    <t>UC7yYFucKiv1t1ZTOUGp8rbg</t>
  </si>
  <si>
    <t>UCyxFFz7hYPEunEqCiCyuCkQ</t>
  </si>
  <si>
    <t>UCGJjAeDvkSmAwmZVvMupN9Q</t>
  </si>
  <si>
    <t>UCZUQxrHy9tEz_3PEsa66c5g</t>
  </si>
  <si>
    <t>UCYqYLW2PT8LnUZLQMYuriOg</t>
  </si>
  <si>
    <t>UCabDbytB7HQvqL3FPb-P_FA</t>
  </si>
  <si>
    <t>UCp7EWuBqzXVgDgvzaDs89vg</t>
  </si>
  <si>
    <t>UCLRMv-XLvX-TLUuVPC4xN0w</t>
  </si>
  <si>
    <t>UCJDa4Ydx-N1Nmuw91RmWFNw</t>
  </si>
  <si>
    <t>UC_e-39jt77tRyz50v16q58g</t>
  </si>
  <si>
    <t>UCpswSTKtiv6vAFFrZaH8caw</t>
  </si>
  <si>
    <t>UCXUZ9R0I5gcUdoXKzCHxRFg</t>
  </si>
  <si>
    <t>UC2z5D3ug62MVXMKJr4sdDGQ</t>
  </si>
  <si>
    <t>UCayhVqIBLOkxqjFFwTOXqKw</t>
  </si>
  <si>
    <t>UCkaCGGmbD9HJCSW7BoEDQig</t>
  </si>
  <si>
    <t>UCmkH1geLuff_x2PLuCmv2mw</t>
  </si>
  <si>
    <t>UChRUVc6uxgZF2A14dGfPzCw</t>
  </si>
  <si>
    <t>UCN6xzOpLWCttxWTEEuWHyDw</t>
  </si>
  <si>
    <t>UCoR24RyrEbO94y03yTRJfNA</t>
  </si>
  <si>
    <t>UCmbmPOFC5-EBakU7C_E7HhA</t>
  </si>
  <si>
    <t>UC_zb2ciDFYz_bcIQNt3rOVA</t>
  </si>
  <si>
    <t>UCY6tFUVvwvDT3C2FJnTh6tQ</t>
  </si>
  <si>
    <t>UC0JxykVO7JUp4VDL8fzmL3A</t>
  </si>
  <si>
    <t>UCpMTw6Uv2cSKVf5DYg5brMg</t>
  </si>
  <si>
    <t>UCYN3TXrNLda066KXArVRDGw</t>
  </si>
  <si>
    <t>UCKZfiiEgb52j7bJC78LMRJQ</t>
  </si>
  <si>
    <t>UC4VVqyAPChhP8a3GnmE61AQ</t>
  </si>
  <si>
    <t>UC91g7ZXcm3MhwxuNVhiPgDg</t>
  </si>
  <si>
    <t>UCMOXOc7vSKdE63sq4XdqzLw</t>
  </si>
  <si>
    <t>UCpb0LbGwD0TBVydIHsKuUTQ</t>
  </si>
  <si>
    <t>UCdLb49pJnDcAXASPyWulgAA</t>
  </si>
  <si>
    <t>UC-ZSkvqDMpBjUiR2yeLYRng</t>
  </si>
  <si>
    <t>UCpGn4HyP0uFtP8y3WzP1QfA</t>
  </si>
  <si>
    <t>UCfiFT1zYwKhUL89CY013UkA</t>
  </si>
  <si>
    <t>UCcubfjo1KLwjfocmy8G9rww</t>
  </si>
  <si>
    <t>UCXut-GK1daiLKc71QA7TBdA</t>
  </si>
  <si>
    <t>UCfRG_33MjoFgZ9KVYHQxfiQ</t>
  </si>
  <si>
    <t>UC60ke-iKRhFPPAvQk2P5z4g</t>
  </si>
  <si>
    <t>UCdbn3zzovJRU5ZaW2hApdaQ</t>
  </si>
  <si>
    <t>UCaUWZSW08BcoSBXr6J7ix5g</t>
  </si>
  <si>
    <t>UCeLB1cmGI0OO7UJ4Q6IZylg</t>
  </si>
  <si>
    <t>UCO9BGOiWiLekp3u2ijKslrQ</t>
  </si>
  <si>
    <t>UChS6zykVB8B8KhgelQJ1swg</t>
  </si>
  <si>
    <t>UC4Kgn3RS0n8MkDsxr8kvMTg</t>
  </si>
  <si>
    <t>UCGNWBR5q_j0DZJLlgFMO6iA</t>
  </si>
  <si>
    <t>UCQBu5DORSj_C2YYftxfac-w</t>
  </si>
  <si>
    <t>UCcQA1m-Y0Hrh6ZSeKVfTCFA</t>
  </si>
  <si>
    <t>UCb1pGOUe90oXVPT4PuiSn9w</t>
  </si>
  <si>
    <t>UC0CccC4SX47d0rXuEQ59fTg</t>
  </si>
  <si>
    <t>UCxwcBJiUsy8D4GRCvm2XvAw</t>
  </si>
  <si>
    <t>UCYudHr0cITvCHUCK-UA1Gkw</t>
  </si>
  <si>
    <t>UCtQEZ0WMF79pmHqqLz-W2_w</t>
  </si>
  <si>
    <t>UCbUFESlDoe1ag7newYZrYiA</t>
  </si>
  <si>
    <t>UC8c9XUxcS0NlapP7vZ-noZw</t>
  </si>
  <si>
    <t>UCMQp-0kXp6Qr9OAQrds7jDA</t>
  </si>
  <si>
    <t>UChn-Crm5oezfkQ5R_qZJTcQ</t>
  </si>
  <si>
    <t>UCHazLkCa7qmF3gwl1U6WNmA</t>
  </si>
  <si>
    <t>UCsTTM93-MWoQ1IZ_0cVo8UA</t>
  </si>
  <si>
    <t>UCSRhMQnkcjUEj8byD3z-Zvw</t>
  </si>
  <si>
    <t>UCmHrJ7JkvfVQv3GwY66DqTA</t>
  </si>
  <si>
    <t>UCg4u7k-jvBu5oyPIv96Q1Gw</t>
  </si>
  <si>
    <t>UCYPe4POgVRRWe_8qSya6icA</t>
  </si>
  <si>
    <t>UCNJDdl-gwaLn_3gZOLI24Yg</t>
  </si>
  <si>
    <t>UCqs2IRNBY00Yhb3n-lxDR3Q</t>
  </si>
  <si>
    <t>UCnJOxdh9U6M8F3ibqdotENg</t>
  </si>
  <si>
    <t>UC-IU_nk6SBCCHXrw62-ueOg</t>
  </si>
  <si>
    <t>UCwYanttysUnCQjanU4pZAuQ</t>
  </si>
  <si>
    <t>UCTVqbHSHONbBLNOgfXh9LvA</t>
  </si>
  <si>
    <t>UCaOB3gXheV8mJJBBlW4Ejlw</t>
  </si>
  <si>
    <t>UCBuKzEJfU-dwjJ-a95Oce1w</t>
  </si>
  <si>
    <t>UCEXmDqJvYC_RgnVp7AuLWWQ</t>
  </si>
  <si>
    <t>UCfyuzGbP0p6NT9yBIYbCoxQ</t>
  </si>
  <si>
    <t>UCF0UVK4yc7X4wiN6m64vcxA</t>
  </si>
  <si>
    <t>UC6kGI215AvnHfUDlJm611og</t>
  </si>
  <si>
    <t>UCrY4L4pW87pg33kdbb5vaog</t>
  </si>
  <si>
    <t>UCdJEjJHAOKNloHads92QMig</t>
  </si>
  <si>
    <t>UCl9hlbEHvU9S1JLZbYll5gQ</t>
  </si>
  <si>
    <t>UCozlZQSrRkZcnbQDc5mSKLw</t>
  </si>
  <si>
    <t>UCNPNx2B0UhAEQ88px0O-_0A</t>
  </si>
  <si>
    <t>UCY6UK87WDx1BCOqv02hbYCw</t>
  </si>
  <si>
    <t>UC-RL5jQjADFaFnAC4GWwAcg</t>
  </si>
  <si>
    <t>UCDAIeh3KzPXPzo5OcRgAZcQ</t>
  </si>
  <si>
    <t>UCq4a-o6Z9bJ77at5WFkaT9A</t>
  </si>
  <si>
    <t>UCZ6_rB05TwzDg3eK71u41ew</t>
  </si>
  <si>
    <t>UCMkGFwQqmu1Hkre8dnT5CYg</t>
  </si>
  <si>
    <t>UCX9TCQsPxShraoMH0OkLlWg</t>
  </si>
  <si>
    <t>UCrjT8e3SIvaSwbMQcWbuOUQ</t>
  </si>
  <si>
    <t>UC5I0tl9C4T9OA6u6k4rwH2Q</t>
  </si>
  <si>
    <t>UCTYEENz1Rt7fDO3AEUyDV4A</t>
  </si>
  <si>
    <t>UC4sji85U43j1VMwEH1B_PHA</t>
  </si>
  <si>
    <t>UCDxZ-M8cj_ZO2op4hiNeeUA</t>
  </si>
  <si>
    <t>UCuquBisAuAQm-A1xOI9UeaA</t>
  </si>
  <si>
    <t>UC3bes6p33iWgxZFbTM9ux-Q</t>
  </si>
  <si>
    <t>UC-5c1IGzc3Ttb8hvdNKgUCg</t>
  </si>
  <si>
    <t>UC4ADxA6ErYeOe1JI2TSyYcg</t>
  </si>
  <si>
    <t>UCexpPzp9KVbQexJAvytb-tQ</t>
  </si>
  <si>
    <t>UCcavxBtx_PfYmHzROwXsPFw</t>
  </si>
  <si>
    <t>UCpiHKaPkHj7YkOPgiCCdSWw</t>
  </si>
  <si>
    <t>UCje-9ZIm60JB3IzfcpmUQhA</t>
  </si>
  <si>
    <t>UCqy0ekWdha_X7pGbUhH7r0A</t>
  </si>
  <si>
    <t>UCsePoG1ZhWfUTg2efbyvS8w</t>
  </si>
  <si>
    <t>UC8mKunOp0S4Ln7hctcPHJQA</t>
  </si>
  <si>
    <t>UCg5pjmjkEK7DdgS8XG_M46A</t>
  </si>
  <si>
    <t>UCJB64zhi27F13KCXHl4zs9Q</t>
  </si>
  <si>
    <t>UCO0vd-Q-wuvy6p1D_stpjLA</t>
  </si>
  <si>
    <t>UC0JjsEtFmDfrNWzLxI744sw</t>
  </si>
  <si>
    <t>UCT7EhBOXKaeI9SZz11eBaWw</t>
  </si>
  <si>
    <t>UC-dKFKSvA2oRqawK73zMNYw</t>
  </si>
  <si>
    <t>UC2kr6LJovxi3DppRbXF_lIQ</t>
  </si>
  <si>
    <t>UClGESSQ9_CIkK1Igid6TRbQ</t>
  </si>
  <si>
    <t>UC6mnnA13-i-8E03dCg4RsYw</t>
  </si>
  <si>
    <t>UCUuAP5kn-u5gbBwnHsCWn1w</t>
  </si>
  <si>
    <t>UC4Td2571F17COgRA2UAIvIQ</t>
  </si>
  <si>
    <t>UC6VlnFJ2PE-L4WJC6d50Fhw</t>
  </si>
  <si>
    <t>UCBuI5BeXFR7Qb2yYB-TLqsw</t>
  </si>
  <si>
    <t>UCqi0eJx11pQuo3DAzULs3Sg</t>
  </si>
  <si>
    <t>UCbmyWohLP1LoDEUqH29nIsw</t>
  </si>
  <si>
    <t>UCg_FrU47GeUXK7JqYmafojQ</t>
  </si>
  <si>
    <t>UCIeT0Bm2l-1-LcObMaO5RSw</t>
  </si>
  <si>
    <t>UCq0nhgtEFh7UhoxBA4q2fig</t>
  </si>
  <si>
    <t>UCsogXGsI8hRJ5m715mxvCWQ</t>
  </si>
  <si>
    <t>UC_l25YJ5yelJH-xudRj8YkQ</t>
  </si>
  <si>
    <t>UClZPxSff05u4qlf92KJoLFw</t>
  </si>
  <si>
    <t>UCps0elc8IDTCqXTWGTbqdhw</t>
  </si>
  <si>
    <t>UC9hcWrXpXWSxygdlZBV_7-A</t>
  </si>
  <si>
    <t>UCw_0dy4LmQMSMf_QEL3Qsqg</t>
  </si>
  <si>
    <t>UC3b62ijvc9UfM_aKUVqxGgw</t>
  </si>
  <si>
    <t>UCbTDHkOBtx1PmkcpQb8O3tw</t>
  </si>
  <si>
    <t>UCYaR7bDWxyOOoreuWYM4-9A</t>
  </si>
  <si>
    <t>UCbDBOplQgmAQC-2Z6eOdrfA</t>
  </si>
  <si>
    <t>UCfPh2ZMPVtZlEKJElPIlZFg</t>
  </si>
  <si>
    <t>UCq_dTkkYV5ZCF1NvGSxv7Ug</t>
  </si>
  <si>
    <t>UCsK4qZrhgoeETuYUZXfx1rQ</t>
  </si>
  <si>
    <t>UCLD0mWkI9RhtXLMIXPeJKNw</t>
  </si>
  <si>
    <t>UCU6Rar_MIux7KxB3fxMHksA</t>
  </si>
  <si>
    <t>UCsYjmxuq-Waa1nWTn6YlbDg</t>
  </si>
  <si>
    <t>UCsaqbxuZY6gL-7SbYOjItmA</t>
  </si>
  <si>
    <t>UCGushJDi1Ckp7EXmbvNiy3A</t>
  </si>
  <si>
    <t>UCAATVky1WIyWqz5cU84Fo-A</t>
  </si>
  <si>
    <t>UCY7USCLk46R3vYXqfIym8mA</t>
  </si>
  <si>
    <t>UCGlKJbLVM-HRu5tgi7aDdNg</t>
  </si>
  <si>
    <t>UCkHKTPq8uioksF_fEtdSOdQ</t>
  </si>
  <si>
    <t>UC2qji7e1gOQTuCB76aVUecw</t>
  </si>
  <si>
    <t>UChxlItVvSgYBNtJfSCUbzVw</t>
  </si>
  <si>
    <t>UCzlsypGdECICHvnqtQin2Vw</t>
  </si>
  <si>
    <t>UCEKoblHlkmsxuAQFgKBhQaQ</t>
  </si>
  <si>
    <t>UCmcfn6dwihiPvRYeoYUcTuQ</t>
  </si>
  <si>
    <t>UCO3jHXcKlPehZomoKHovdbA</t>
  </si>
  <si>
    <t>UCeNTItdmY67VMstASY9kYBQ</t>
  </si>
  <si>
    <t>UCQsrjPueWUyqLGR_31n6xdA</t>
  </si>
  <si>
    <t>UChDa2pVRP6qj-V1PMMnPpLQ</t>
  </si>
  <si>
    <t>UCzVhgK2IRJd17_85DOSNkIw</t>
  </si>
  <si>
    <t>UC-fUhJhbbrB2CWLGCXmnsQw</t>
  </si>
  <si>
    <t>UCw4G4L-F-mD5zMljpvc2gtA</t>
  </si>
  <si>
    <t>UCJEQNXB_YpE1C8Asbzkybyg</t>
  </si>
  <si>
    <t>UChhaV9Ahi8prmSbspMGOiYA</t>
  </si>
  <si>
    <t>UCt9K1RlM69XXZr6k9z27sYw</t>
  </si>
  <si>
    <t>UCy3OKq9-HIQ38abNvIZhwvQ</t>
  </si>
  <si>
    <t>UC3t9Q7aKFS8eUOwQAxlcD-A</t>
  </si>
  <si>
    <t>UCKLWeNzsJJkMMOmV2D5efFQ</t>
  </si>
  <si>
    <t>UChI9HQZPc2SO9wM8cEgLDXg</t>
  </si>
  <si>
    <t>UCNye-wNBqNL5ZzHSJj3l8Bg</t>
  </si>
  <si>
    <t>UCVLuOtc2MoBRxlJceAdg_2Q</t>
  </si>
  <si>
    <t>UCR65SzNDtLRn1DJE1fm-X9Q</t>
  </si>
  <si>
    <t>UC5VowwhLAC1mL46iuhwTj7Q</t>
  </si>
  <si>
    <t>UCCr93i5bh_mChh8ePaxppww</t>
  </si>
  <si>
    <t>UCb0dmZQAftj6Dl38bqpfZoQ</t>
  </si>
  <si>
    <t>UCqOE40p98BTcGK99xKZ7mkA</t>
  </si>
  <si>
    <t>UCSEkcwttfCEPMpWFNNCnlvg</t>
  </si>
  <si>
    <t>UCzH0b69GmcdQg-ArmrgeNsQ</t>
  </si>
  <si>
    <t>UCYeM_gaqh-WJBU-cAZUoTOw</t>
  </si>
  <si>
    <t>UCeLATagAHFszoRCjVHoXbrQ</t>
  </si>
  <si>
    <t>UCrJNKa-OlCBez_qgWa5J-Ng</t>
  </si>
  <si>
    <t>UCNsiSjiFhCzfltBVCBd3Now</t>
  </si>
  <si>
    <t>UC9G3-sDCpNVC-U0R9EX2I-w</t>
  </si>
  <si>
    <t>UCtJgK9To6IOyPvAjNlqNBfg</t>
  </si>
  <si>
    <t>UClkU9-3XSIIRBieOqi2H5-A</t>
  </si>
  <si>
    <t>UCO1duSVVdeG8NY3g6Ldlb8w</t>
  </si>
  <si>
    <t>UCmuhqIgfk2AW8T836rF7ZAw</t>
  </si>
  <si>
    <t>UC7t4_eNlJo3ZNkAtdXoi-dQ</t>
  </si>
  <si>
    <t>UCunj_6U81_ZQF6f8d5WI_lg</t>
  </si>
  <si>
    <t>UCL8pATckASVpO0OBrLDY1Aw</t>
  </si>
  <si>
    <t>UC9IsmgP8_HLq9wS1Z45wr1g</t>
  </si>
  <si>
    <t>UCnSsu5lrpMUWhf1zGJWBuFw</t>
  </si>
  <si>
    <t>UCxnRtqVKFdnzi-p-VaanS6Q</t>
  </si>
  <si>
    <t>UCmujqnvEG2O_U21zf6PYnTA</t>
  </si>
  <si>
    <t>UCkCN8G1NmCQkqVdnBXEAWhg</t>
  </si>
  <si>
    <t>UCjZgiEIJP4GZfTjl3iTdS2Q</t>
  </si>
  <si>
    <t>UCZY2WKUVwnjRgoY7_AwTDnA</t>
  </si>
  <si>
    <t>UCprQWxc91NtC1Jx1iuEbC-Q</t>
  </si>
  <si>
    <t>UC1PmEy1zIRElu9ymmRqxM6w</t>
  </si>
  <si>
    <t>UCDR2gVFmKy9xRU09ibm5S0A</t>
  </si>
  <si>
    <t>UCkToL_dA1Ur_clei6Zvbxsg</t>
  </si>
  <si>
    <t>UCZesqSx5h4QieDviYJPF_bA</t>
  </si>
  <si>
    <t>UC2aoRR08A9FS0eIo0owmRQA</t>
  </si>
  <si>
    <t>UC87eWGE5NyDI3121ZwIjVkA</t>
  </si>
  <si>
    <t>UCoUh_xk2m2IaRRgV-hwDaoA</t>
  </si>
  <si>
    <t>UCO5Jeark1e_JP36mY3ua19g</t>
  </si>
  <si>
    <t>UCKTINSJhAdJjcK-AaCmiCuA</t>
  </si>
  <si>
    <t>UCdchqwUBbQg9CgDjf5wWuOg</t>
  </si>
  <si>
    <t>Commented Video</t>
  </si>
  <si>
    <t>Posted Video</t>
  </si>
  <si>
    <t>Firstly, doesn&amp;#39;t England have single payer health care and didn&amp;#39;t the English government condemn that poor little baby boy to death? Is that really what you want for the US? From what I know of Obamacare it&amp;#39;s really bad and really expensive BUT is it really as bad as giving your government the permission to tell you &amp;quot;we have no intention of helping your baby, you can&amp;#39;t go to another country to help your baby and when we decide it&amp;#39;s time for him to die, we&amp;#39;re going to kill him.&amp;quot; &lt;br&gt;&lt;br&gt;Secondly, Trump didn&amp;#39;t win because people voted against Hillary. Yes, some people had that attitude BUT others voted for Trump to stick it to the DNC for screwing over Bernie but the MAJORITY of people voted for Trump because they support him. &lt;br&gt;&lt;br&gt;Thirdly, Bernie would never have beaten Trump!&lt;br&gt;&lt;br&gt;Lastly, Bernie is a sellout. Anyone who thinks differently after everything he&amp;#39;s done is living in the same reality as those who think Hillary is a good person.</t>
  </si>
  <si>
    <t>I call it and still do .. the &lt;a href="http://www.youtube.com/results?search_query=%23KKKilleryVsChump"&gt;#KKKilleryVsChump&lt;/a&gt; unreality show.</t>
  </si>
  <si>
    <t>Fantastic discussion, Suzie &amp;amp; H. A. Goodman!! I&amp;#39;m looking forward to more discussions!!</t>
  </si>
  <si>
    <t>I like HA, but, with his Bernie blind spot, he remains stuck in the false paradigm of left/right, Democrat/Republican.  He still talks about the 2018 midterms, like rigged elections matter. The NSA has federalized elections: Trump is the last accidental President. For real insight into the US political system, the Internet Party should interview Debbie Lusignan , the Sane Progressive.</t>
  </si>
  <si>
    <t>Sane Progressive is the American commentator you really need to interview.  &lt;a href="https://youtu.be/rD7GpfZNJ0s"&gt;https://youtu.be/rD7GpfZNJ0s&lt;/a&gt;</t>
  </si>
  <si>
    <t>I didn&amp;#39;t know that about Jill Stein, OMG! +Internet Party Would the Internet Party please comment on Silicon Valley leaders entering politics? They are the new establishment arrayed against the Internet underground. To me that is the real contest, surveillance versus free information; what is your opinion of Mark Zuckerberg running for president on a Democrat ticket?</t>
  </si>
  <si>
    <t>Listening to this until she called trump a rapist with out any evidence..</t>
  </si>
  <si>
    <t>Actually, Bernie and Hillary both support the war in Afghanistan. That&amp;#39;s why they never talked about it in the so called debates.</t>
  </si>
  <si>
    <t>From Canada here, well done and enjoy the subscription bump from H.A. You deserve it with all your hard work and diligence. Be well.</t>
  </si>
  <si>
    <t>No one will ever agree w/another 100% just saying, but frankly I love this discussion and am now a subscriber. If you continue your funding and publication on free &amp;#39;Julian Assange, I for one will share and donate to support these righteous cause!</t>
  </si>
  <si>
    <t>H.A I it is way past to time to mention the Pedo gate Way past time.....read Marty Leeds he has written the best primer on subject</t>
  </si>
  <si>
    <t>Good luck folks! Greetings from The Netherlands.</t>
  </si>
  <si>
    <t>Trump is cuddling up to the KKK? And you agree Goodman? You&amp;#39;re both complete fucking idiots. I&amp;#39;m done with this interview. If you upload this video to your channel do yourself a favor and cut her out completely. It&amp;#39;ll make for a much shorter and more watchable video.</t>
  </si>
  <si>
    <t>Honoured to witness.</t>
  </si>
  <si>
    <t>He was asked what single payer means, then did everything but explain what single payer means, then was thanked for explaining it.</t>
  </si>
  <si>
    <t>I AM a right wing conservative and want Julian Assange free.</t>
  </si>
  <si>
    <t>How do we fix the Integrity of the American election? Photo ID. Stop the absentee ballots, and have people bussed to the polls with a photo ID. The argument they use to say it is too difficult for people to find a Secretary of State where you get a driver&amp;#39;s license to get a photo ID is ludicrous. Set up tables at every Walmart in the country and you&amp;#39;ve got the problem fixed. Just like Girl Scout cookies. LOL. We laugh, but those people who say they can&amp;#39;t get to a driver&amp;#39;s license bureau somehow find a way to get to Walmart! Problem solved.</t>
  </si>
  <si>
    <t>&amp;quot;Regurgitate&amp;quot; is a pearl.</t>
  </si>
  <si>
    <t>Back during the 2016 democratic primaries, as I saw Bernie&amp;#39;s campaign being attacked by the MSM (CNN &amp;amp; MSNBC You KNOW who you ARE....But it was the entirety of the MS &amp;quot;FAKE MEWS&amp;quot; Media). After I saw what was happening I warned everyone. I went to the comment section of Yahoo after every propaganda piece/PR piece their mercenary &amp;quot;journalists&amp;quot; penned on behalf of HRC. I warned everyone that if they persisted in their F-ing &amp;quot;Subversion&amp;quot; of the primary, and F-ing &amp;quot;Insisted&amp;quot; on manufacturing a coronation/nomi ation for Hillary &amp;quot;Your Fucking Royal Highness&amp;quot; Clinton,  that they would be rolling out the  &amp;quot;Red F-ing Carpet&amp;quot; for Trump.&lt;br&gt;You can&amp;#39;t imagine the amount of attacks I received. Yahoo even started making my comments invisable to everyone but me. Yahoo started censoring their own comments section for articles. Yahoo went to &amp;quot;Extreme&amp;quot; lengths to censor anyone who DARED speak against their anointed  HRC.&lt;br&gt;So, after having spent 17 years using &amp;quot;Yahoo&amp;quot; as my default homepage I changed this on ALL of my devices. Fuck Yahoo. I now have YouTube set as my default homepage on ALL of my devices. YouTube exposes millions of people to my comments. &lt;br&gt;So, thank you Yahoo for that. I didn&amp;#39;t know what I was missing. Plus being able to type uncensored comments and say stuff like &amp;quot;Fuck Shit Screw&amp;quot; and all that lol.</t>
  </si>
  <si>
    <t>If the DNC continues on their path they will be irrelevant and Trump will win again.</t>
  </si>
  <si>
    <t>DNC and neoliberals have nothing to offer the people. They are too busy lining their pockets to keep their jobs supported by the Oligarchs.</t>
  </si>
  <si>
    <t>You can support &amp;amp; vote for any main political party, left or right in US, UK, NZ or AUS and it won&amp;#39;t make a jot of difference to the agendas of the real powers. Banks, Oil &amp;amp; Arms dealers (law doesn&amp;#39;t apply to them) will destroy anyone or anything that gets in their way. Politics is BS unless we have a total revolution &amp;amp; rewrite the rule book that the corrupt have written. It&amp;#39;s about time we did something about it. Write an ethical manifesto publish vote online. Then damn well apply it by any means necessary.</t>
  </si>
  <si>
    <t>hello Suzie Dawson please have some faith in what i have to say, i know it&amp;#39;s hard to take things in when they sound so contrived, i&amp;#39;ve spent a whole deal of my life agreaved please&lt;br&gt;i am so desperate, the youth of today are becoming a seperate race, our intel gave our genome to the greys, &lt;br&gt;this isn&amp;#39;t a matter of maybe or if these things sound like&lt;br&gt;they are wrong they are facts, i am third part grey, but it&amp;#39;s &lt;br&gt;getting more and more as we go on, so i guess what im saying is these youngsters are ahead of the game, they &lt;br&gt;are ahead of me. i am the person picked to stear the &lt;br&gt;children but i am a damaged individual a woman in my country a woman has found my coins she speaks on &lt;br&gt;the radio about them, i say this because they seam &lt;br&gt;pretty much like my coins these coins have history in &lt;br&gt;them that are likely to cause  i want to accept responsibility &lt;br&gt;for the war around Venuswala so we can have peace talks</t>
  </si>
  <si>
    <t>This is so cute!!!</t>
  </si>
  <si>
    <t>Does anyone know what happened at &lt;a href="https://www.youtube.com/watch?v=1bh2dHZIrHI&amp;amp;t=0m22s"&gt;0:22&lt;/a&gt;?</t>
  </si>
  <si>
    <t>Trumptards gonna be mad...</t>
  </si>
  <si>
    <t>Now, if only Trump can give a speech in English, that might be good (probably not)!</t>
  </si>
  <si>
    <t>New Zealand&amp;#39;s Jacinda Ardern deserves to be the Western world&amp;quot;s best leader. Meanwhile, the US president Donald Trump is the absolute worst leader in the world.</t>
  </si>
  <si>
    <t>Wow what a language</t>
  </si>
  <si>
    <t>Thank you for covering it.</t>
  </si>
  <si>
    <t>Well said Prime Minister &amp;amp; congratulations!</t>
  </si>
  <si>
    <t>National treasure</t>
  </si>
  <si>
    <t>Absolute legend!</t>
  </si>
  <si>
    <t>[hearts for eyes emoji]</t>
  </si>
  <si>
    <t>Awesome work, Toby. Despite being an ex journo and following along with the NZ press, I&amp;#39;d never heard of Sharon&amp;#39;s work or her story. Loved it!</t>
  </si>
  <si>
    <t>Mean, lil humble NZ we often forget about our Cartoonist heroes. Great talents.</t>
  </si>
  <si>
    <t>Brilliant!</t>
  </si>
  <si>
    <t>Loved the in-depth look into the tools of the trade! Great vid, chur!</t>
  </si>
  <si>
    <t>Can you drawl Blippy or not</t>
  </si>
  <si>
    <t>&lt;b&gt;Sex is some kind of wonderful&lt;/b&gt;</t>
  </si>
  <si>
    <t>Wow, I have been loving Toby&amp;#39;s recent collaborations with Siouxsie Wiles, and this lead me to clicking on the link to the Two Sketches.  I am now hooked!  So interesting hearing from a talented, smart, strong woman like Sharon, and awesome watching you both work.  Inspiring, and I can&amp;#39;t draw, but might try given I have enforced time on my hands!!  Thank you.</t>
  </si>
  <si>
    <t>I think you should listen to Jim Willie re why USA is perpetually at war.&lt;br&gt;His website is &lt;a href="http://goldenjackass.com/"&gt;goldenjackass.com&lt;/a&gt; and in the public section he puts audio files &lt;br&gt;of his interviews. He explains how the dollar is defended by war, because the dollar, since the USA has&lt;br&gt;gone off the gold standard in the 1970s , is a currency which is constantly being debased and is &lt;br&gt;now a virtually useless currency, and the USA has a huge trade deficit. Much of the war is waged to discourage &lt;br&gt;other countries from developing other gold backed currencies to take control of their own destiny. Think Gadafi, Assan etc.&lt;br&gt;&lt;br&gt;He also explains how the game is almost up as Russia and China are now thoroughly sick of the USA  and are working on other systems for trade which will not involve the USA Dollar. The military and military bases are used for ratlines and transporting illegal arms and drugs. The latest call for extra troops in Afghanistan coincidentally at the same time as poppy planting time. Since USA has occupied Afghanistan the opium crop has increased year on year. Now they bring the opium back and are targeting their own USA population, hence the opiate abuse crisis. The ROT is deep and so many people know but Mainstream Media will not cover it. &lt;br&gt;&lt;br&gt;The monuments removal thing is just more diversionary tactics to take all the eyes off the main issues. Don&amp;#39;t even engage with it. Keep your eyes on the main issues. You could also watch George Webb and crowdsource the truth to keep up with what is actually going on in the USA now.</t>
  </si>
  <si>
    <t>The other thing to consider, immigration is used by the ratlines to bring in people to carry out their illegal activities in the USA.&lt;br&gt;The use of visas and the illegal immigration controlled by gangs over the Canadian and Mexico borders is introducing Mexican gangs into the US  MS13 I think to control the rat lines. The media is totally controlled in most of the western world&lt;br&gt;In NZ Immigration is being used to destabilize our society. It is demoralizing our young people and young families. I see it every day as the deck is stacked against them more and more. Low wages, high housing costs, rising cost of living, constant propaganda that the country is doing well, and the great NZ crushing machine at work on any person who speaks out. There will probably be a change of Govt this month but probably nothing much will change unless our Government stops allowing the USA tell us what to do.</t>
  </si>
  <si>
    <t>This is another well done and informative stream - at least what I could take in while working on a ladder or operating power tools.  Hope to listen again to catch some bits I missed.  One area where I rather disagree with Swanson is with his organization&amp;#39;s joining the impeach-Trump bandwagon (though he mentioned this only in passing).  Rather I think we should take the view adopted later in the interview with respect to Tulsi Gabbard: to focus on the policies and not the persons.  Or, as John V. Walsh put it recently, (in Unsung Summit of Putin and Trump), &amp;quot;we should support the good in what Trump does and oppose the bad.&amp;quot;  I really think the LaRouche PAC has better priorities: Oppose the coup against the US&amp;#39;s constitutionally elected president, especially by exposing the &lt;a href="http://www.youtube.com/results?search_query=%23Russiagatefraud"&gt;#Russiagatefraud&lt;/a&gt; and demanding that its perpetrators face justice, work the restoration of Glass-Steagal separating commercial from investment banking (something Trump said he supported at a couple points during his campaign), and join with China in supporting the One Belt One Road initiative - the only framework in which Trump&amp;#39;s promise to rebuild US infrastructure and stated desire to end regime-change wars and promote &amp;quot;stability all over&amp;quot; is plausibly feasible. &lt;br&gt;&lt;br&gt;Yes, I&amp;#39;m horrified by some of the belligerence coming from Trump on North Korea or Iran, say.  But then at almost every turn, I see the foreign policy establishment and corrupt media pushing for an increase of tensions - culminating in the unconstitutional legislation &lt;i&gt;requiring&lt;/i&gt; Trump to impose harsher measures on Russia, Iran, North Korea (and I think Syria or Venezuela - though these were not highlighted in the coverage of the bill&amp;#39;s contents).  &amp;quot;Impeach Trump&amp;quot; is a diversion that plays into the hands of the jackals just alluded to who will stop at nothing to foreclose the possibility that Trump might do anything good.</t>
  </si>
  <si>
    <t>Thanks for the great videos!</t>
  </si>
  <si>
    <t>&amp;quot;A surprisingly powerful ballad&amp;quot; - Undertheradar</t>
  </si>
  <si>
    <t>great upload im glad i’ve found this channel _xD83D__xDC4C_</t>
  </si>
  <si>
    <t>Alfred E Newman all grown up_xD83D__xDE05_</t>
  </si>
  <si>
    <t>What a hair style</t>
  </si>
  <si>
    <t>If such countries do fail their youth too then imagine all the other hundreds of countries _xD83E__xDD28_</t>
  </si>
  <si>
    <t>It wasn’t a landslide it was a four seat majority ... Jacinda Arden is a false prophet .... she is a lying bitch ...</t>
  </si>
  <si>
    <t>Yes and chastisment is their reward.</t>
  </si>
  <si>
    <t>Our people need to return to the land  get out of the city&amp;#39;s lots of smart people with great ideas and plenty to say yet it always comes back to the treaty and the government, I grew up on the east coast an educated in Auckland we always had a roof an never went hungry,we were lucky,we never had money but the food bowl that we lived in meant alot of family time out gathering fruit an veges fishing hunting living off the land our chest freezer was always full of seafood and meat so a trip to the supermarket was cheap just to get the basics lots of empty marae there shouldn&amp;#39;t be any homeless</t>
  </si>
  <si>
    <t>The Mental Health system needs a big change. (Good Change)&lt;br&gt;Their present system is failing a lot a people who are struggling with life.</t>
  </si>
  <si>
    <t>New Zealand is an awesome place full of opportunity. It has a safety net for those who can&amp;#39;t work or who are sick a free public school and health system. And to afford these services, the country overall has a high tax rate when you consider taxes and GST 15% tax on most goods and services. The system is not perfect, and like any system can be abused, and a culture of dependence on benefits can/has emerged. i.e. I have worked with kids in the past where most of their family and extended family have been on benefits long term- This then becomes a normal culture in these families and to get more money they have to work the system. The problem with this system is double-edged, so while increasing the benefits will help, it will also encourage long term dependence on welfare which is not an ideal outcome. The other problem with poverty is that the cost of living is relatively high in NZ. ( food /fuel /rent/electricity/phone etc) and the working wage / hourly rate is relatively low for lower-skilled and middle-income owners. So even if you can get off the benefit, the option of working in a low paid job will still give similar hardships is quite high. I would say 30 % is a government issue with regulations, and 70% is down to the individual to beat the odds. To add that poverty is not the only issue if you come from a culture of violence and drug abuse then money will not fix that and kids will still suffer in those families. There is also neglect in its various forms which is not only about money - diet leading to obesity is a growing problem.</t>
  </si>
  <si>
    <t>Awesome piece of news ! NZ sets the standard for all of us ! I wish you the very best, NZ !!!</t>
  </si>
  <si>
    <t>Indeginious individuals have not only had there lands taken from them without compensation, but now their descendants are being treated unfairly and left behind. We need to appreciate them more, provide financial assistance, adequate housing, education and free health care.</t>
  </si>
  <si>
    <t>Snatch Cuomo&amp;#39;s Emmy and give it to PM Jacinda. Prayers for New Zealand</t>
  </si>
  <si>
    <t>Frontline media in the past did cover youth suicide, but these days there is no mention, its the typical, motorcycle death, police are clamping down on bla bla bla. Frontline media are no longer the main news providers as most will checkin whats happening at anytime online, rather than waiting for the 6pm news. Here in NZ legal suicide euthanasia is being considered. My thoughts are rather than government debate within their protected bubble, politicians vs politicians, there should be a place for these action groups that are working at grass roots to fill the void, plug the holes that the government isn&amp;#39;t doing, cannot see beyond their own efforts and the data that they glaze over, but that they are confronted not just as &amp;quot;lets discuss and debate&amp;quot; that is pointless because they cannot see the need for it until they spend a day volunteering in these action groups and see it for themselves, hopefully then outside their bubble of &amp;quot;lets look at the data, the data says.....&amp;quot;,  they will see why these groups exist, and why they need to back them and grow them. That is why such groups exist in every country like the Sudan youth issue, there groups exist to plug the holes the government ignores.  Almost need the analytical intellects to do their thing, while balance with empathy, and having to face the facts, as in, how many suicides this week?</t>
  </si>
  <si>
    <t>Who in their right mind thought it was appropriate to inject and shape a massive leaky tattoo on one&amp;#39;s own face to signal cultural affiliation? That&amp;#39;s the type of attributes that the New Zeeland government seem to use affirmative action and policies of encouragement to get into government and society too, no? Modern social democracy at its finest.</t>
  </si>
  <si>
    <t>Thank you Aljazeera.</t>
  </si>
  <si>
    <t>Don&amp;#39;t know much about New Zealand, but I do know that you have the best Prime Minister.  Very very competent and passionate Lady.</t>
  </si>
  <si>
    <t>Was there a.genocide in New Zealand?</t>
  </si>
  <si>
    <t>Im a new zealander and glenis advocating that colonial rule has caused this problem is absolute rubbish,everything is given to moari in the sense that it has created an apartheid system that favours maori,the true fact is that the parents chose to lead an unhealthy lifestyle and tend to spend their welfare money on booze and take aways,drugs and then complain they haven&amp;#39;t enough left to feed their families,for a 15% portion of the population that fills 50% of our prisons with this kind of attitude the government is throwing good money after bad,people,no matter what culture they are need to learn to stand on their own two feet without having to rely on handouts they don&amp;#39;t need.</t>
  </si>
  <si>
    <t>Maybe the gov&amp;#39;t needs to upgrade their approach to the indigenous. Intervention at the earliest age if possible. Educating the children to correct the wrong mindset &amp;amp; flaws of their culture. Integrating them and feel being accepted by everyone in the society at an early age.</t>
  </si>
  <si>
    <t>Welcome to globalism you have to take a backseat in the collectives new world order _xD83D__xDC4E__xD83D__xDC4E__xD83D__xDD25_</t>
  </si>
  <si>
    <t>The left-wing party in NZ has recently been pushing for a universal basic income.</t>
  </si>
  <si>
    <t>Why do humans see more problems occurring when there&amp;#39;s actual less problems happening?</t>
  </si>
  <si>
    <t>I spent most of time to eat and sleep so I want your support _xD83D__xDE01_</t>
  </si>
  <si>
    <t>Liar bla bla bla stupid news Hoax</t>
  </si>
  <si>
    <t>With the crazy and unfair price rises in housing, rents or purchasing, there will be more and more poverty. The scourge of methamphetamine in this country also does not help. &lt;br&gt;Too many empty holiday homes all around this country, capitalism has a lot to do with this. Overseas millionaire buyers pushing prices to ridiculous levels. In my opinion</t>
  </si>
  <si>
    <t>Our schools need to be teaching life skills, budgeting, integrated into lessons from a young age</t>
  </si>
  <si>
    <t>Tena Koutou nga hoa=Hello friends the reason why New Zealand has failed youth &amp;amp; the many homeless etc. NZer&amp;#39;s is because firstly the capitalist system that has its foundation cemented in inequality (where the free market only provides for some). I am a Maori child of 1966 &amp;amp; I witnessed NZ was rated the 3rd best health system in the world, ample social / affordable housing &amp;amp; good education system. Over 4.5 score years I have witnessed deterioration of the quality of life for many NZer&amp;#39;s &amp;amp; the rise of loveless Money Elitist pandering governments. &lt;br&gt;&lt;br&gt;Successive Governments brought the users pay mentality that was the end of the health system, the government (National party) stopped repairing &amp;amp; selling off social / affordable housing (with the reserve bank supporting a ponzi scheme similar to the Cyprus papers who target the money elite as being the only people that can buy property in New Zealand). &lt;br&gt;&lt;br&gt;Over the last decade of so they (the governments) have been targeting Education with the user pays again like health / mental health system governments have reduce financial  support, appreciation of nurses, doctors, teachers, teachers aides etc in all departments. &lt;br&gt;&lt;br&gt;This has all happened while New Zealander&amp;#39;s / Kiwi&amp;#39;s portray an image to the world as being Green Environment lovers (while here in Canterbury the nitrate levels in our drinking water is higher than the level is able to cause cancer, but dairy cows are more money). Similar is racism in later 1970&amp;#39; as I had hands slammed in desktop by catholic nun for speaking Maori and bored in the temple by priest at 6 yrs old till I went to college. With the constant pandering to the money elite NZer&amp;#39;s are pro inequality &amp;amp; need to amend or change the capitalist system as even in 08/2020 MD Satra Brown came to NZ to worked experienced the ingrained racism here in NZ. &lt;br&gt;&lt;br&gt;I don&amp;#39;t mind saying I have attempted suicide as I never felt I belonged in a money more important than people or life on papatuanuku (earth mother) not much has changed as in Wellington they have stolen land through a pro inequality capitalist system that has evolved over 500 yrs &amp;amp; incorporated with an Aristocracy (Monarcy = 1 person has power over all)) a perverted version of Aristotle &amp;amp; Plato&amp;#39; democracy. &lt;br&gt;&lt;br&gt;Kia tupato to haere koutou= take care as you go everyone; Kia kaha nga hoa= stay strong friends.</t>
  </si>
  <si>
    <t>Sorry I got waylaid from from youth &amp;amp; to me in the past is because the NZ government &amp;amp; others pander to the money elite of the world is why there is no hope of a future for the young people</t>
  </si>
  <si>
    <t>From Whangarei myself. Individual responsibility amongst the lower economic groups or people is largely non existent. I&amp;#39;ve witnessed many families doing the best they can, whilst at the same time living on a diet of fast food, cigarettes and copious amounts of alcohol. Poverty by first world standards is nothing more than relative poverty and the parents in question can sadly be blindfully ignorant to the conditions in which they raise their children. It wouldn&amp;#39;t be so much as bad decisions as that would say some of these individuals could have made better choices.</t>
  </si>
  <si>
    <t>I love my country but the poverty problem is not just based on the government being able to shift benefits alone. This is a huge issue worldwide of the disproportionate power, people not able to obtain resources, ie: Overpriced housing the list goes on.  Statistics that are not realistic in our community, our free budgeting advice services attached to our welfare have disgusting margins of normal cost for food &amp;amp; housing so giving no realistic support.  Another issue that seems not to be mentioned is the breakdowns of families due to abuse or drug abuse.  There is no support for solo parents coming out of these environments and Covid made these issues even more heightened with children having to be at home with sometimes volatile and stressful environments.  If people who did have resources realize that solving these issues will benefit and save money in the long run for them they might stop saying why should we help &amp;quot;them&amp;quot; and learn that the wealth of a country should only be measured on how our most vulnerable doing... not those that have.</t>
  </si>
  <si>
    <t>Same for us pasifika</t>
  </si>
  <si>
    <t>Would hardpoint do a similar thing? Like claiming the objective gives you 450 xp or 200 xp depending on when you claim it, is that not weapon xp?</t>
  </si>
  <si>
    <t>So this is the guy that Exo is jealous of? Pssh</t>
  </si>
  <si>
    <t>Let wahmen vote this is what you get. We need a NZ working mens party.</t>
  </si>
  <si>
    <t>Western democracies are done, just earn your money here and take it somewhere else.</t>
  </si>
  <si>
    <t>It might be a bit much to ask, but would it be possible for you to get together with Casual Bachelor or Shinobi Wan for a live stream? I believe that they&amp;#39;re both on the Northern Island. Just curious. Thank you.</t>
  </si>
  <si>
    <t>+1 shield _xD83D__xDEE1_</t>
  </si>
  <si>
    <t>Yep, spot on brother._xD83D__xDC4D_ That puppet master with those two on strings is the demonic Jazzy Bell spirit that&amp;#39;s infultrated women worldwide &amp;amp; under their ultimate master Satan himself!&lt;br&gt; As for me &amp;amp; my house, we will serve the Lord!</t>
  </si>
  <si>
    <t>so who you voting for bro since labour and national are both feminist parties that favour women?  I&amp;#39;ll vote the same as you.</t>
  </si>
  <si>
    <t>Gender pay gap? pffft! It should be the Gender Lay gap. i mean chicks can get so so much easier than we can . That&amp;#39;s unfairness right there.  Is any party doing anything about that? ...Nope</t>
  </si>
  <si>
    <t>She looks like a B-A-A-A-D man!</t>
  </si>
  <si>
    <t>Nurse Wretched.</t>
  </si>
  <si>
    <t>“Duncan Gardner, 3 News...”????</t>
  </si>
  <si>
    <t>Chucky’s Sister</t>
  </si>
  <si>
    <t>The puppet master is comrade Helen Clark, the real PM of NZ.  Has been for years. She is employed by, and committed to, the most corrupt international company on earth, the UN.</t>
  </si>
  <si>
    <t>I just saw an American news story about your Deputy PM shutting down an American wacko spouting on about Koch&amp;#39;s Postulates and Corona. Your Deputy PM was awesome! Wish we had some politicians who talked straight like that to the crazies</t>
  </si>
  <si>
    <t>Spoiler alert: Jacinda wins _xD83E__xDD42_</t>
  </si>
  <si>
    <t>WEF flunky. Covid 19 retard. Good riddance.</t>
  </si>
  <si>
    <t>me patiently waiting for the prem hazard 9005 siren to one day get premiered _xD83D__xDE02_</t>
  </si>
  <si>
    <t>the els on that car _xD83D__xDE0D_</t>
  </si>
  <si>
    <t>Hey can you create a code 3 z3 and also a code 3 z3 rumbler</t>
  </si>
  <si>
    <t>Same siren as QPS lol</t>
  </si>
  <si>
    <t>Mean as car and els!</t>
  </si>
  <si>
    <t>No they use tait and walen</t>
  </si>
  <si>
    <t>is the car pack downloadable?</t>
  </si>
  <si>
    <t>Hey Bro Question How did u make it so The Break Lights Dont Flash With ELS</t>
  </si>
  <si>
    <t>Hey Question How can i get The ELS Panel u have on your backroubd Pic For ELS</t>
  </si>
  <si>
    <t>suzy, are you coming back to nz? an internet party fan here!</t>
  </si>
  <si>
    <t>Jacinda Ardern is a tyrant.</t>
  </si>
  <si>
    <t>Avi is not Alt right for starters nor is he anyway leaning to the left.</t>
  </si>
  <si>
    <t>right wing pos</t>
  </si>
  <si>
    <t>Useless bloody Tory. Why bother campaigning if you aren&amp;#39;t going to change anything? It&amp;#39;s an insult to workers to use the name &amp;quot;Labour&amp;quot; for this neoliberal abomination of a party</t>
  </si>
  <si>
    <t>Wheres Aotearoa?</t>
  </si>
  <si>
    <t>Two of NZ’s biggest losers talking shit.</t>
  </si>
  <si>
    <t>slushies</t>
  </si>
  <si>
    <t>wtf</t>
  </si>
  <si>
    <t>Good on you sole! I don’t think I ever voted when I was living there</t>
  </si>
  <si>
    <t>Your comparing forgiving a person for being a rowdy young boy who got into fights, and forgiving somebody who actively commited fraud against the government that employed them? Whatever the reason, I wouldnt hire a person who actively defrauded my own company. Why wouldnt the government be the same?</t>
  </si>
  <si>
    <t>How many leftists buzzwords can you fit into one video?&lt;br&gt;&lt;br&gt;Speaker: Yes!</t>
  </si>
  <si>
    <t>Huh?</t>
  </si>
  <si>
    <t>So one was a child when the event occurred, the other was an adult when she committed the event. Did I get that right?</t>
  </si>
  <si>
    <t>&lt;a href="https://youtube.com/shorts/xD8lVzwb2AE?feature=share"&gt;https://youtube.com/shorts/xD8lVzwb2AE?feature=share&lt;/a&gt;&lt;br&gt;&lt;br&gt;The comments in here be like</t>
  </si>
  <si>
    <t>Absolutely _xD83D__xDCAF_ the double standards are shameful. If that was my 13 year old son who was beaten I would be horrified to see his abuser in my country&amp;#39;s parliament.</t>
  </si>
  <si>
    <t>Your video was fair and acrid as a Labour Party member your description of the Labour Party ideology was fair and very Balance. I&amp;#39;ve been enjoying your YouTube videos about the elections looking forward to seeing more</t>
  </si>
  <si>
    <t>Is there away to call for a snap Election?</t>
  </si>
  <si>
    <t>OMG and the two scribble faced racist, need to go and stop pushing for an Apartheid / racist split country. The ONLY party worth voting for is ACT, even national have had a chance to push real agendas to save us... and done nothing. Labour have taken us backward....</t>
  </si>
  <si>
    <t>Too be honest we should bring back Guy Fawkes, theyre all parasites</t>
  </si>
  <si>
    <t>lowering the voting age should have happened in the local body elections. prefect opportunity to trial this.</t>
  </si>
  <si>
    <t>I am curious what you mean by the &amp;#39;ruling class&amp;#39; in NZ and who are the oppressors?</t>
  </si>
  <si>
    <t>I think we need to pull out the Yuri Bezmenov tapes again. Seems more relevant to today&amp;#39;s world than it did 30 years ago.</t>
  </si>
  <si>
    <t>The psychology of police is similar to that of a dog, in which dogs will do anything to take away their hunger anxiety, and police will do anything to earn their paycheck.&lt;br&gt;A return to sheriff&amp;#39;s and community policing will be a good start IMO.&lt;br&gt;You have good points about the State having a monopoly on force, but again it seems you conflate capitalism with cronyism versus true free market competition.&lt;br&gt;I have had to deal with the deceptive police and you are correct, it is corrupt to the core and needs to be reformed.&lt;br&gt;I can only hope that in the age of aquarius, we become enlightened human beings and stop utilisation and escalation of violence from the state to the way we treat our children. No use of force, violence and coercion should ever be required, but until then I view this as a humanity issue.&lt;br&gt;In this way I support Anarchy only as a means of not supporting centralized government, but that is a whole other bag of tricks.&lt;br&gt;Great video, thanks for sharing.</t>
  </si>
  <si>
    <t>Excuses</t>
  </si>
  <si>
    <t>So she saying brown people are the ones in gangs?</t>
  </si>
  <si>
    <t>Your skin color means nothing. If your in a gang, your in a gang.  If it just so happens more gang members are black and/or brown, that&amp;#39;s a cultural issue. Deal with it, and stop callingthe people noticing it racist.</t>
  </si>
  <si>
    <t>Maybe they are disproportionately target because they  disproportionately as communities are more violent and in gangs?</t>
  </si>
  <si>
    <t>She might as well not even be human the way she brainlessly spouts the typical talking points someone taught her to say.</t>
  </si>
  <si>
    <t>make zealandia great again</t>
  </si>
  <si>
    <t>Really enjoying these, wondering when the next episode will be out</t>
  </si>
  <si>
    <t>i hope your messages reaches the world, they of course will try and push it under the rug as usual.</t>
  </si>
  <si>
    <t>Apparently there is now 3rd Dan Blackbelt Masters degree professor in Slashology. I hope the  Ozzy’s Cain us for that one. Why is Tairawhiti  the only place in the world_xD83D__xDE43_NZ experiencing this.</t>
  </si>
  <si>
    <t>Good job man</t>
  </si>
  <si>
    <t>These are great! Loving the series!</t>
  </si>
  <si>
    <t>I love the four brother channels: Werly, Mr. Beat, Jacob M. and Sormon. I have learned soooo much about these respective countries.</t>
  </si>
  <si>
    <t>Deport him .greens hate women. Unbelievable what they did to those women.</t>
  </si>
  <si>
    <t>Makes you proud to be a kiwi, eh.</t>
  </si>
  <si>
    <t>Men’s violence&lt;br&gt;&lt;br&gt;&lt;br&gt;&lt;br&gt;Male pattern violence doesn’t change when you transition - who knew!!</t>
  </si>
  <si>
    <t>Grow up Simon</t>
  </si>
  <si>
    <t>Priceless</t>
  </si>
  <si>
    <t>What an embarrassment this man is.</t>
  </si>
  <si>
    <t>I am cringing so much at this</t>
  </si>
  <si>
    <t>Wow... and he wants to lead this country?</t>
  </si>
  <si>
    <t>Simple Simon</t>
  </si>
  <si>
    <t>The magic happens at &lt;a href="https://www.youtube.com/watch?v=grXXl_O02g8&amp;amp;t=0m07s"&gt;0:07&lt;/a&gt;</t>
  </si>
  <si>
    <t>a truly Iconic moment in aotearoa&amp;#39;s history</t>
  </si>
  <si>
    <t>aww Simple Simon</t>
  </si>
  <si>
    <t>Lady&amp;#39;s and gentlemen, the leader of the opposition.</t>
  </si>
  <si>
    <t>Where do I apply for my Simon themed slushie machine? I&amp;#39;ll call it... my pretty hate machine.</t>
  </si>
  <si>
    <t>He is a joke. Typical high faluting Twat. I don&amp;#39;t know how he remembers to breath.</t>
  </si>
  <si>
    <t>Petition to get this guy on Dr Phil-</t>
  </si>
  <si>
    <t>The whip sat behind him looks unamused</t>
  </si>
  <si>
    <t>I like this.</t>
  </si>
  <si>
    <t>I love how he basically calls a fellow MP fat with no consequences. Actually I don&amp;#39;t like that.</t>
  </si>
  <si>
    <t>you know you done fucked up when even Paula Benefit awkwardly shuffles her paper in embarrassment.</t>
  </si>
  <si>
    <t>Rip this guy&amp;#39;s political career</t>
  </si>
  <si>
    <t>Best money ever spent tbh. Not even lying.</t>
  </si>
  <si>
    <t>Lmao this is hilarious to watch _xD83D__xDE02__xD83D__xDE02_ an Opposition Leader getting THAT irate over slushy machines!!</t>
  </si>
  <si>
    <t>Dis man needs to be the head of the opposition not Collins, I need dem slushies</t>
  </si>
  <si>
    <t>thREE</t>
  </si>
  <si>
    <t>O K B O O M E R . Also Iconic</t>
  </si>
  <si>
    <t>If anything i think Gerry Brownlee might have helped himself to more slushies  than Grant Robertson</t>
  </si>
  <si>
    <t>Is this a time warp moment, filmed before Luxon entered Parliament, but there he is sitting behind Paula Bennett. WTF.</t>
  </si>
  <si>
    <t>And that folks is where your tax dollars go . What an embarrassment.</t>
  </si>
  <si>
    <t>Aotearoa = Land of the long white cloud. ;)</t>
  </si>
  <si>
    <t>Hijab and Muslim prayer forced onto all broadcasters in a Christian nation.&lt;br&gt;Banned internet sites like 4chan. &lt;br&gt;Allowed Huawei to steal data from citizens for 6 yrs.&lt;br&gt;Sold NZ to Chy-na.&lt;br&gt;Killed people and  business with Covid Zero. &lt;br&gt;Gah, I was about to give up my Kiwi passport forever because of HIM.&lt;br&gt;The weenie red dress vid is bad. &lt;br&gt;&lt;br&gt;Pretty sure Ardern was an intern for Hillary when Ardern was 20,  back when HRC was in NY running against JFK Jr. Can&amp;#39;t find the links anymore.&lt;br&gt;&lt;br&gt;Evil and selected not elected.</t>
  </si>
  <si>
    <t>Strike the past comment, looks like I&amp;#39;m still handing in my passport. &lt;br&gt;Nope, nope and nope.&lt;br&gt;&lt;br&gt;Thanks for another good one Madigan. &lt;br&gt;&lt;br&gt;Wondered why I want getting notifications here, I was following the wrong person. Sorry. :/ &lt;br&gt;&lt;br&gt;Now I&amp;#39;m likely to catch you live. &lt;br&gt;I&amp;#39;ll be able to listen but not always comment.&lt;br&gt;I&amp;#39;ll fill your chat with comments to help your algorithm  every time I can though. :) &lt;br&gt;&lt;br&gt;Good luck. I only have 1 sub and 7 viewing hours up. Hahaha. You&amp;#39;ll smash the numbers super fast.</t>
  </si>
  <si>
    <t>Another nonsense ad from the NZ police. The facts are backed up by the AA and Dog and lemon that only about 10 (at most) people a year die from actually breaking the speed limit. Most deaths are from people driving under the speed limit and failing to drive to the conditions. There are literally Hundreds of roads marked 100km that physical cant be driven at that speed because of the twists and turns. This is where the vast majority of accidents are happening. The police label these as &amp;quot;speed related&amp;quot;. Has nothing to do with breaking the speed imit. We have over 5000 people dying each year from smoking but they spend nothing on ads telling us not to smoke. And more people die from drowning yet they give nothing to surf lifesaving. They don&amp;#39;t even fund the Westpac rescue helicopter or coast guard but continue to spend hundreds of thousands $$ on nonsense speeding ads. They do this to make themselves feel good about their quota of tickets they throw at the public. How about getting your priorities right and stop wasting money on something that will make zero difference. How about giving the money to those who really need it. Lets tell it like it is.. &amp;quot; you are doing everything in your power to get your quota for the day&amp;quot;</t>
  </si>
  <si>
    <t>Great ad. Sadly most motorist won&amp;#39;t heed the message and will instead cry foul over &amp;quot;revenue gathing&amp;quot; instead of the simple fact that speed kills. If the Police are just revenue gathering then speeders should blame themselves for contributing to that revenue drive. I&amp;#39;m pretty sure the Police can&amp;#39;t issue you a ticket if you&amp;#39;re abiding by the rules.</t>
  </si>
  <si>
    <t>This morning, ( Wed. 21/02/18 on ZB Talkback radio with Heather DuPlessis Allen, this was a hot topic all morning. Much criticism of NZ drivers bad attitudes towards other road users. The comments were saying too much, aggressiveness, impatience and a lack of courtesy . Most callers agreed with the above comments.</t>
  </si>
  <si>
    <t>Wow that is such a powerful ad. No stuffing around, blunt and straight to reality. I can&amp;#39;t think of a better and more emotional way to get a message across. I can understand the criticism regarding the ad, but once you witness death, not just to speeding but to any road related accident/collision it sticks why it&amp;#39;s important to listen. We dont give enough props to the NZ Police for keeping us safe. The only people who hate cops are the ones who are ignorant in their own ways and fail to acknowledge the law and why it&amp;#39;s in place.</t>
  </si>
  <si>
    <t>its pretty  strong message and people still speed, people wont learn and understand that police a trying to stop people speeding to save lives? :(</t>
  </si>
  <si>
    <t>I feel this ad is really important as I have recently lost a friend of mine due to speeding. Although the deaths caused only by speeding are low, for every one person we lose to it is a family that mourns for a lifetime a mother or father, yes maybe there are more &amp;quot;important&amp;quot; things that the police could be doing, but stopping people from speeding and saving a family a lifetime of sadness is just as important as anything else.</t>
  </si>
  <si>
    <t>this made me think</t>
  </si>
  <si>
    <t>Not another Propaganda ad ffs here we go again its mostly not just speed. Its  mostly other factors aswell &lt;br&gt;&lt;br&gt;Road design &lt;br&gt;Car design &lt;br&gt;And&lt;br&gt;Driver training&lt;br&gt;And crash training and no nearly no one crashes well its freaking hard to</t>
  </si>
  <si>
    <t>What a piss take but true no one crashes well</t>
  </si>
  <si>
    <t>Oh ive crashed well woke up again at my mates after crashing there and i felt refreshed</t>
  </si>
  <si>
    <t>Damn that&amp;#39;s pretty deep</t>
  </si>
  <si>
    <t>I cRaCkEd Up WhEn I sAw ThIs hurr durr</t>
  </si>
  <si>
    <t>Strongest ad ive ever watched</t>
  </si>
  <si>
    <t>He’s all shit, I drove drunk everywhere for 10 years and never had any problems, then quit while I was ahead, just a few dickheads ruin it for everyone</t>
  </si>
  <si>
    <t>House of Cars</t>
  </si>
  <si>
    <t>That’s because drivers here or rather some are incredibly stupid, uneducated or are on something. Welcome to NZ.</t>
  </si>
  <si>
    <t>ONE OF THE BEST ROAD SAFETY ADS EVER.</t>
  </si>
  <si>
    <t>This marks the closest nzpd ever got to not blaming literally every crash on speed.</t>
  </si>
  <si>
    <t>Good vid bro, just got back from the selection course a couple of days ago, hardest thing I&amp;#39;ve ever done.</t>
  </si>
  <si>
    <t>Completely uneccessary. there is no need to discriminat others just because they do a damn good job serving and protecting people such as yourself</t>
  </si>
  <si>
    <t>my uncle was in ramsi</t>
  </si>
  <si>
    <t>Hhahaha absolutly right. Even 556s travel great distances.. through walls and multiple houses in some instances.  &amp;quot;My uncle has a 50 cal&amp;quot; bahahah i love that classic armchair line ahhh....</t>
  </si>
  <si>
    <t>@theconcrode sumthin by evanescence</t>
  </si>
  <si>
    <t xml:space="preserve">0:48, those first two pictures arent police, they are Australian Army 4RAR Commandos </t>
  </si>
  <si>
    <t>best of the world : )</t>
  </si>
  <si>
    <t>i saw them today hehe</t>
  </si>
  <si>
    <t>@ngaumatau101 You give Maori a bad name...</t>
  </si>
  <si>
    <t xml:space="preserve">if only the background song was from metallica :/ but great job mate!! </t>
  </si>
  <si>
    <t xml:space="preserve">magic eyes lol </t>
  </si>
  <si>
    <t>Why do they have to put wussy music on???
Ramstein, Acca Dacca, Nickelback (minimum) etc. etc.</t>
  </si>
  <si>
    <t>How much do they make monthly???</t>
  </si>
  <si>
    <t>AOS members and Special Tactics Unit will deal with the gangs</t>
  </si>
  <si>
    <t>the real gangsters</t>
  </si>
  <si>
    <t>Great vid. Loved it. Got to participate in a training exercise with STG a few years ago.  Speed, aggression and surprise. These officers don&amp;#39;t piss about.</t>
  </si>
  <si>
    <t>The biggest wimps of all.Toughguys with the uniform and all that pussy protection on but nothlng but pussys without just like most pigs....fact.</t>
  </si>
  <si>
    <t>wtf is this music</t>
  </si>
  <si>
    <t>16 july 21 what mess bout get real messy for police armed inicdents  going be number offender shoot kill zero tol fire arms public exsample going be made asure public who is boss. public scared after yesterday.&lt;br&gt; LIKE ADD  POLICE WE HAVE NEXT GEN GUNS ELETRONIC CAN DISABLE OR KILL PERSON DISABLE CARS ELETRONICS AND BUILDING POWER SURPLYS.  RANGE 700 MTRS  DISABLE BRAIN FUNCTION IF USED LOW POWER INSTANT FULLY DISABLE TARGET WHY NOT LEAST LOOK AT SAFER THAN FIRE ARMS COST ROUND 1500 A UNIT MORE USEFULL 21  CENT DESIGN JUST LIKE MOVIES PUT NZ ON MAPP USA MIL INTERESTED IN PLANS BETS GOING COPY RUSSIA ALREADY HAVE. D MILLER. dangermouse</t>
  </si>
  <si>
    <t>29 july nz judges ipca can order make police comply by order activated</t>
  </si>
  <si>
    <t>3 am armed stand off kiwitea st sandringham arrest made  6/6/23 major incident over night</t>
  </si>
  <si>
    <t>It&amp;#39;s a 2019 modle, License plate starts with &amp;quot;L&amp;quot;.</t>
  </si>
  <si>
    <t>Good going Cal. U have more comments. Make sure u support back by visiting them. Thats the comment i got when i promoted your channel on mine.</t>
  </si>
  <si>
    <t>I subscribed</t>
  </si>
  <si>
    <t>Flog</t>
  </si>
  <si>
    <t>Great one! I’m going to nz next year!</t>
  </si>
  <si>
    <t>In New Zealand boys the general duties police do not carry guns just taser and pepper spray, I live in Australia and our police are armed.</t>
  </si>
  <si>
    <t>New Zealanders have a quirky sense of humour like their sister nation Australians but a little more on the silly side. South Pacific Islanders eg. from Samoa, Tonga etc. live in NZ.</t>
  </si>
  <si>
    <t>NZ is safe compared to the USA and UK. Japan is way safer.&lt;br&gt;You won&amp;#39;t see any fat cops on the streets of New Zealand. &lt;br&gt;New Zealand cops don&amp;#39;t carry guns, normally. Just tasers. We have a special armed offenders squad AOS, I guess like SWAT. But ordinary cops are fire armed trained. Guns are readily available</t>
  </si>
  <si>
    <t>Aussie here, I have seen this ad before, but I just noticed that the front tyre on that bike is flat at &lt;a href="https://www.youtube.com/watch?v=lBULLJFAT50&amp;amp;t=3m32s"&gt;3:32&lt;/a&gt;.</t>
  </si>
  <si>
    <t>You should watch NZ airlines ads if you enjoyed this</t>
  </si>
  <si>
    <t>NZ is safe because it has more sheep then people.</t>
  </si>
  <si>
    <t>Most NZ cops don&amp;#39;t carry firearms - you may have a Sergeant or Duty Officer that is armed &amp;amp; called to a scene. &amp;quot;Police Ten 7&amp;quot; is a NZ Cops show &amp;amp; you will see some crazy people driving crazy cars that should be scrapped. NZ has no snakes nor deadly spiders too.</t>
  </si>
  <si>
    <t>Should try out Air New Zealand ads too _xD83D__xDE02_</t>
  </si>
  <si>
    <t>another great vid from issac butterfield for you to watch</t>
  </si>
  <si>
    <t>Phezz, you asked the question and the answers are in the credits!</t>
  </si>
  <si>
    <t>You know you are in a &amp;quot;safe&amp;quot; country when you see almost all cops have no lethal weapons. NZ is one such place. The  &amp;quot;Samoan&amp;quot; you saw could have been exactly that, or Maori, Tongan or any one of several other Polynesian peoples. I also saw an ethnic Chinese, and a Sikh in the video. &lt;br&gt;The Christchurch mosque maniac aside, Kiwis are a very friendly people (Wallabies excepted).&lt;br&gt;If you are coming this way, Kiwiland is well worth a visit, with South Island being my favourite.</t>
  </si>
  <si>
    <t>You should react to Isaac butterfield reacting to Americans trying Australian snacks!</t>
  </si>
  <si>
    <t>Big ups to yous _xD83D__xDD25_ watch some more New Zealand content ‼️</t>
  </si>
  <si>
    <t>But can you do that one, enter a van as a man and exit as a woman _xD83D__xDE02_</t>
  </si>
  <si>
    <t>Listen to the Skyhooks song &amp;#39;Women in Uniform&amp;#39; _xD83E__xDD23__xD83E__xDD23__xD83E__xDD23__xD83E__xDD18_</t>
  </si>
  <si>
    <t>I love NZedders _xD83E__xDD70__xD83D__xDC4F__xD83D__xDC4F_</t>
  </si>
  <si>
    <t>It would be safe as with a population of 5.084 million pretty sure Brisbane&amp;#39;s population is just over 5 million and it&amp;#39;s safe, I&amp;#39;d still bet NZ is safer though _xD83D__xDE01_</t>
  </si>
  <si>
    <t>We are always in the top 3 of safest countries each year as it changes. Like I’m sure the year of out terror attack would of made us 3rd. That dumb shit got the first and only life sentence with no chance of parole. Our justice system is weak, it’s along the same line as other commonwealth countries eg Aus, Canada, Uk.&lt;br&gt;U can get 10 years for murder.</t>
  </si>
  <si>
    <t>It&amp;#39;s safer than Aus because all their crims come over here hahahaha . Sorry, it&amp;#39;s a beautiful place with nice people.</t>
  </si>
  <si>
    <t>Last time I saw a rating NZ was number 2, can&amp;#39;t remember who was top a Nordic country I think?</t>
  </si>
  <si>
    <t>Haha I just looked it up …they do have police cats …that’s crazy</t>
  </si>
  <si>
    <t>Should watch Jim Jeffries going on a ride-along with the Australian Police.</t>
  </si>
  <si>
    <t>Yes. Women cops are hot. We all know it, so no shame in saying it.</t>
  </si>
  <si>
    <t>To really understand policing in New Zealand check out the show &amp;quot;Police ten 7&amp;quot;. It&amp;#39;s a bit like the show &amp;quot;Cops&amp;quot; but with an NZ twist.................</t>
  </si>
  <si>
    <t>No no cats lol</t>
  </si>
  <si>
    <t>Now you have to watch the cop comedy Wellington Paranormal. Exactly your kind of humour. There&amp;#39;s a few great clips on YouTube.</t>
  </si>
  <si>
    <t>police cats do exist believe it or not.</t>
  </si>
  <si>
    <t>It&amp;#39;s so safe even the cops don&amp;#39;t  carry guns _xD83D__xDE01_</t>
  </si>
  <si>
    <t>New Zealand is the second least corrupt nation in the world and also the least corrupt nation in the English Speaking world</t>
  </si>
  <si>
    <t>As Norwegian, I was a kid going down to NZ back in 1994 just to do some white water kayaking after leaving the big water season up in Nepal and doing climbing in Thailand. Kiwi Police woke me up in some tiny car (Holden I think it was called?) - and them police did not instantly call me a criminal. They just woke me up and asked if I was fine parked in a random place. &lt;br&gt;&lt;br&gt;Here is another important part - I got to see &amp;quot;Once we were warriors&amp;quot; theatrically in NZ - and I got to pick up a book called &amp;quot;The Bone People&amp;quot; by a poet called Keri Hulme that informed My life a lot while playing with water and friends. (I got the news too -Yay Keri thank you - isolation was a thing even back then - as was history)</t>
  </si>
  <si>
    <t>That cat is an offical police member at one station.</t>
  </si>
  <si>
    <t>Given your stated admiration for female officers you should probably react to Skyhooks song  &amp;quot;Women in Uniform &amp;#39;.</t>
  </si>
  <si>
    <t>We have official police cat  also had an official police guinea pig</t>
  </si>
  <si>
    <t>NZ police don’t carry guns on their person.  People do get murdered but very rarely, and if that does happen then The police will know who did it.  This radio station put this theory to the test “3 degrees of separation” and found it true, that every third person you speak to in NZ they will know someone that you know.  Shows how small we are.  More New Zealand videos please.  I don’t want to see Australia but I did watch the Aboriginal video.</t>
  </si>
  <si>
    <t>New Zealand we don&amp;#39;t have the US Army but we have some big as muscle Maori men those Spears guns and ships and of course the police force</t>
  </si>
  <si>
    <t>Do you have Police Cats?!</t>
  </si>
  <si>
    <t>You were too focused on the bloopers, they credited all the cops.</t>
  </si>
  <si>
    <t>No, we don&amp;#39;t have police cats lol</t>
  </si>
  <si>
    <t>&lt;a href="https://www.youtube.com/watch?v=lBULLJFAT50&amp;amp;t=4m20s"&gt;4:20&lt;/a&gt; The indigenous people of New Zealand are the Maori, who are a Polynesian group.</t>
  </si>
  <si>
    <t>There&amp;#39;s a few of these ads and the police have no guns so if someone is resisting arrest they will generally throw a police cat at them this distracting the criminal long enough to apprehend without  severe injury, there&amp;#39;s not many though as they are very hard to control especially if they have been pre thrown.</t>
  </si>
  <si>
    <t>We had a police guinea pig, but he died. Kia ora</t>
  </si>
  <si>
    <t>lol what can cats do haha</t>
  </si>
  <si>
    <t>The tik-tokker at &lt;a href="https://www.youtube.com/watch?v=lBULLJFAT50&amp;amp;t=2m20s"&gt;2:20&lt;/a&gt; does the weather on the morning TV news.</t>
  </si>
  <si>
    <t>This video had a grip on me and I’m from Italy _xD83D__xDE2D__xD83D__xDC80_♥️ we love u New Zealand</t>
  </si>
  <si>
    <t>Try watching &amp;quot; How to Dad&amp;quot; channeled is so funny</t>
  </si>
  <si>
    <t>Can u react on Royal Family dance crew pls</t>
  </si>
  <si>
    <t>And no we don&amp;#39;t have police cat&amp;#39;s _xD83E__xDD23__xD83E__xDD23__xD83E__xDD23__xD83E__xDD23_</t>
  </si>
  <si>
    <t>The cops in NEW ZEALAND  are pretty low key, then many many countries, they are actually very tame. Honestly</t>
  </si>
  <si>
    <t>I think the police cat was a joke playing on the multiple body swaps in the ad</t>
  </si>
  <si>
    <t>This was obviously a small selection of Police life in New Zealand (Aotearoa).... like Canada _xD83C__xDDE8__xD83C__xDDE6_ everything governmental is bilingual (minimum).... there&amp;#39;s always the quirky Kiwi sense of humour, everybody in this was a serving member of the New Zealand Police, except the kuds.... that really was the Chief Commissioner of Police, kind of like seeing the Head of the FBI in the ad, but you&amp;#39;ll note distinctly not in an office, rather what appeared to be a press briefing in a conference room, actually in the park.&lt;br&gt;&lt;br&gt;As for the &amp;quot;missing&amp;quot; pieces, there&amp;#39;s all the &amp;quot;Roads&amp;quot; Police, like Motorway (Highway) Patrol, accident investigation, forensics, legal (ie. Police Prosecutors - paralegals), mounted (horse / bicycle / motorcycle).... etc.&lt;br&gt;&lt;br&gt;And the Cat(s) - they&amp;#39;re a staple of most commonwealth police forces, good mousers, company for office staff... the station cat.</t>
  </si>
  <si>
    <t>New Zealand propaganda at its finest. _xD83D__xDE02_</t>
  </si>
  <si>
    <t>There is no police cats in new Zealand but it would be cool</t>
  </si>
  <si>
    <t>as nz is a polynesian country you are obviously going to see polynesian people from all round polynesia</t>
  </si>
  <si>
    <t>Kinda safe but there&amp;#39;s a bit of violence in schools , postcodes or gangs there&amp;#39;s quite a lot of it but the police here are actually good no racism , no unfairness simple easy police _xD83D__xDC4D__xD83C__xDFFD_</t>
  </si>
  <si>
    <t>new zealand is the second safest country in the world currently!</t>
  </si>
  <si>
    <t>Now I can see why New Zealand is safe&lt;br&gt;Because cops don&amp;#39;t carry guns</t>
  </si>
  <si>
    <t>The Police do their job like any other country. We don&amp;#39;t carry arms but it doesn&amp;#39;t mean they are not without one close by. Like other countries everyone has their grievances with cops but because we have a multi-cultural force here, it leaves no room for discrimination otherwise you won&amp;#39;t last that long. If you don&amp;#39;t want them on your door step, then don&amp;#39;t give them a reason to be there. We are a safe country but we also have gangs and the normal bad guy. It doesn&amp;#39;t take much to catch the bad guy/gal cos the Police use social media to catch them and we have more good people than bad. As for the gangs, if you don&amp;#39;t want them in your life, stay out of theirs.</t>
  </si>
  <si>
    <t>The police cats...they are honorary; we have cats and rabbits saved by the cops that get to wear the vest and put on their websites. We love it!! In I&amp;#39;m south island... we safe :)</t>
  </si>
  <si>
    <t>As pets at some stations.  Good for mental health</t>
  </si>
  <si>
    <t>We have crime and violent crimes but usually stay in top 5 safest countries in world.</t>
  </si>
  <si>
    <t>I&amp;#39;ve worked on a police recruitment video as an extra (not this one) and everyone in police uniform was a sworn officer. They are also &amp;#39;&amp;#39;on duty&amp;#39;&amp;#39; when filming but &amp;#39;&amp;#39;out of service&amp;#39;&amp;#39; so they&amp;#39;re on full pay. And no we don&amp;#39;t have police cats.</t>
  </si>
  <si>
    <t>We don&amp;#39;t have police cats</t>
  </si>
  <si>
    <t>Hullo! I’m in New Zealand and yes, it’s very safe. I love it here :) come visit sometime! _xD83C__xDDF3__xD83C__xDDFF_</t>
  </si>
  <si>
    <t>Lol welcome to kiwi humour</t>
  </si>
  <si>
    <t>NZ is pretty safe contrary to popular belief the NZ police are armed they just don&amp;#39;t carry we have gangs murders rapes just like every other country</t>
  </si>
  <si>
    <t>Hello from newzealand use boys should come to NZ for a holiday</t>
  </si>
  <si>
    <t>we do have police cats</t>
  </si>
  <si>
    <t>Police cats are used t9 catch all those dirty rats out there!!!!_xD83D__xDE02__xD83D__xDE02__xD83D__xDE02_</t>
  </si>
  <si>
    <t>The cop dancing with the youth is a former All Black who became a cop when he finished with the ABs.. Glen Osbourne..most in the ad are serving members of the force.._xD83D__xDE0A_</t>
  </si>
  <si>
    <t>There&amp;#39;s been some all some police recruitment advertising , it fits our humor, types of people, and both genders, and different areas you may want to go into, it&amp;#39;s like no day is the same and you people represention of your everyday community</t>
  </si>
  <si>
    <t>Check out the NZ show Motorway Patrol, the difference between the NZ road police to the US cops is huge!</t>
  </si>
  <si>
    <t>I have to do this. &amp;quot;What&amp;#39;s up guys?&amp;quot; Um, the sky?</t>
  </si>
  <si>
    <t>Love your content and reviews.But can you please review a Kiwi Band called House of Shem, the song is Anything you ask for. It will grow on you for sure&amp;#39;s, honest checkitout bro.</t>
  </si>
  <si>
    <t>They were actual police including our Chief Commissioner, their focus is to serve, protect and lighten the mood.</t>
  </si>
  <si>
    <t>We have police cats. you have police pussies all needing a gun.</t>
  </si>
  <si>
    <t>New Zealand Police haven’t carried guns until recently, and only 33 cops have been killed in the line of duty in the last 100 years. Unfortunately however, these facts are changing. There is a current debate about cops carrying guns.</t>
  </si>
  <si>
    <t>we have cats in the force and are used to catch cat burglars</t>
  </si>
  <si>
    <t>The police cats are to sniff out hidden fish that has been caught illegally, they have the harness because if they didn&amp;#39;t have it the cats just run off into the bushes and you never see them again.</t>
  </si>
  <si>
    <t>i have made a few odd calls to NZ police to report criming ,or some  crazy.&lt;br&gt;I have been a victim of a death threat,  he got convicted when i lived in a hostel,&lt;br&gt;=but thats another story,&lt;br&gt;they dont give us  unarmed combat training  in the  Artillery!</t>
  </si>
  <si>
    <t>yeah, but we call them pussies!</t>
  </si>
  <si>
    <t>EnZed,not InZed, you Canadians are weird.</t>
  </si>
  <si>
    <t>Seeing a New Zealand female cop toting an M16 Assault Rifle is more than cool, it&amp;#39;s down right......just makes an innocent man want to surrender.&lt;br&gt;New Zealand is very safe to pretty safe if you keep to well lit city streets. Suburbs are safe and gun violence is not common. NZ Police are trained to maintain good relationships with the civilian population and don&amp;#39;t routinely carry weapons. However each police vehicle carries a variety of weapons in their car&amp;#39;s truck, so quick access is available. Police officers are routinely armed on diplomatic protection duties and when on duty at an international airport.</t>
  </si>
  <si>
    <t>I LIVE ON THE EAST COAST OF THE NORTH ISLAND, NZ AND I WOULD NOT WANT TO LIVE ANYWHERE ELSE.</t>
  </si>
  <si>
    <t>Yes, we do have police cats. They serve to protect the officers working behind the desk.</t>
  </si>
  <si>
    <t>Yes they are all real cops including the Police Commissioner sitting at the table was the actual Police Commissioner.</t>
  </si>
  <si>
    <t>The guns are there, just not flouted on the officers hip. Generally if there is a dangerous situation involving firearms the AR15&amp;#39;s appear pretty promptly. Otherwise if someone is just getting out of hand and talk and persuasion fails its taser and pepper spray time.</t>
  </si>
  <si>
    <t>Their real cops. Most of our government funded department ads normally include real employees of that department..</t>
  </si>
  <si>
    <t>Good memes</t>
  </si>
  <si>
    <t>That wasnt even funny</t>
  </si>
  <si>
    <t>This is really funny and super creative and this video make&amp;#39;s me want to be a police officer</t>
  </si>
  <si>
    <t>Love it!!!</t>
  </si>
  <si>
    <t>1 million views and no comments? :o good video!!</t>
  </si>
  <si>
    <t>I want to work in the police force when I am older, but my dad works in the police force and doesn&amp;#39;t approve of me having the same job as him</t>
  </si>
  <si>
    <t>&lt;a href="http://www.youtube.com/results?search_query=%23NzPoliceComedy"&gt;#NzPoliceComedy&lt;/a&gt;</t>
  </si>
  <si>
    <t>Did anyone recognized the cat with the k9 unit</t>
  </si>
  <si>
    <t>first</t>
  </si>
  <si>
    <t>ok then</t>
  </si>
  <si>
    <t>1st</t>
  </si>
  <si>
    <t>Good one</t>
  </si>
  <si>
    <t>Noice</t>
  </si>
  <si>
    <t>Lol Police cats i am from Germany and we have only Police dogs Not Police cats</t>
  </si>
  <si>
    <t>Whats the name of the song the guy in pink dances to?</t>
  </si>
  <si>
    <t>Wairoa</t>
  </si>
  <si>
    <t>I wonder if any of these people were actually police</t>
  </si>
  <si>
    <t>No comments?</t>
  </si>
  <si>
    <t>Really? No comments? This is so cool, greetings from Argentina.</t>
  </si>
  <si>
    <t>just brilliant</t>
  </si>
  <si>
    <t>New Zealand Rocks!!!!</t>
  </si>
  <si>
    <t>Dude that was intense</t>
  </si>
  <si>
    <t>Can i join nz police...my physical and running ability and mind skill good for police force...</t>
  </si>
  <si>
    <t>Amazing</t>
  </si>
  <si>
    <t>funny xD</t>
  </si>
  <si>
    <t>I’m why has no one commented</t>
  </si>
  <si>
    <t>Nice</t>
  </si>
  <si>
    <t>This was hilarious. Why are so many watching but not commenting?</t>
  </si>
  <si>
    <t>What! No comments? Crikey! Fantastic advert from a fantastic country. NZ rocks!!</t>
  </si>
  <si>
    <t>crikey</t>
  </si>
  <si>
    <t>police cat!!!!!!!</t>
  </si>
  <si>
    <t>Cant wait to join</t>
  </si>
  <si>
    <t>&lt;a href="https://www.youtube.com/watch?v=f9psILoYmCc&amp;amp;t=1m41s"&gt;1:41&lt;/a&gt; HAHAHAAA I LOVE THIS PART!!!!!</t>
  </si>
  <si>
    <t>yeah this is New Zealand alright</t>
  </si>
  <si>
    <t>i LAUGH EVERY TIME</t>
  </si>
  <si>
    <t>New Zealand cops are the best!</t>
  </si>
  <si>
    <t>I am a new zealander, i live in australia, my family is moving back to new zealand and it has always been a dream of mine to become a police officer like my uncle. See you in a few years New Zealand Police Force.</t>
  </si>
  <si>
    <t>First</t>
  </si>
  <si>
    <t>New Zealand ?</t>
  </si>
  <si>
    <t>Viral</t>
  </si>
  <si>
    <t>What</t>
  </si>
  <si>
    <t>wow 1,255,729 views and no comment&amp;#39;s wow.</t>
  </si>
  <si>
    <t>1 reason why nz is better than aus. has aussie police videos gone viral?&lt;br&gt;LIKE NUh</t>
  </si>
  <si>
    <t>Respect from the Russian Police.</t>
  </si>
  <si>
    <t>I really like this vid awesome choice of music despite what some idiots say. Cheers from Akl (not a JAFA)</t>
  </si>
  <si>
    <t>Heheheheh this is so awesome. The tyre lady is the best :D</t>
  </si>
  <si>
    <t>Lol</t>
  </si>
  <si>
    <t>I was wondering why there isn&amp;#39;t any comment down here... do you get arrested if you do it?  &lt;a href="http://www.youtube.com/results?search_query=%23help"&gt;#help&lt;/a&gt;</t>
  </si>
  <si>
    <t>Why are there no comments? This video is awesome</t>
  </si>
  <si>
    <t>I also cant join the NZ police because i live very far from the nearest precinct</t>
  </si>
  <si>
    <t>I want to join!!!</t>
  </si>
  <si>
    <t>One of them has serious parkour skills</t>
  </si>
  <si>
    <t>This makes me proud to be a Kiwi  _xD83D__xDE02__xD83C__xDDF3__xD83C__xDDFF_</t>
  </si>
  <si>
    <t>1M views, no comments.</t>
  </si>
  <si>
    <t>Woooo, Proud to be Kiwi!&lt;br&gt;&lt;br&gt;&lt;br&gt;&lt;br&gt;Also, nice work adding in the funny bits.</t>
  </si>
  <si>
    <t>&amp;quot;Or Police Commissioner stuff&amp;quot;&lt;br&gt;&lt;b&gt;Sitting in the middle of the park with no one&lt;/b&gt;&lt;br&gt;&lt;br&gt;Why is it NZ police commercials are funny and Australia has to be dead serious with everything?</t>
  </si>
  <si>
    <t>mfw im australian</t>
  </si>
  <si>
    <t>Can police really do backflips and rolls in the air? None of the ones I&amp;#39;ve ever seen or met seem that flexible, maybe one. NZ police seem like ninjas!&lt;br&gt;&lt;a href="https://www.youtube.com/watch?v=f9psILoYmCc&amp;amp;t=2m01s"&gt;2:01&lt;/a&gt; that nearly ended in broken teeth</t>
  </si>
  <si>
    <t>New Zealand gang :D &amp;lt;3</t>
  </si>
  <si>
    <t>Anyone else on a random video run?</t>
  </si>
  <si>
    <t>NEW ZEALAND HAS POLICE CATS!!!</t>
  </si>
  <si>
    <t>is this a youtube glitch? WHERE ARE THE COMMENTS?</t>
  </si>
  <si>
    <t>Haha awesome</t>
  </si>
  <si>
    <t>I never freeze</t>
  </si>
  <si>
    <t>Best police team in the world</t>
  </si>
  <si>
    <t>No comments? :()</t>
  </si>
  <si>
    <t>Kyora police</t>
  </si>
  <si>
    <t>Lmao</t>
  </si>
  <si>
    <t>I&amp;#39;m from another country, across the globe, in Europe and I now want to join NZ Police... Dammit... :D Also I have the first comment in here! :D</t>
  </si>
  <si>
    <t>It&amp;#39;s OkAy Our Sheep can defend THe CounTrY :)</t>
  </si>
  <si>
    <t>This is dope</t>
  </si>
  <si>
    <t>Wut why no comments</t>
  </si>
  <si>
    <t>Dammit New Zealand, now you’ve got better cop recruitment ads? Us Aussies can’t keep up _xD83D__xDE02_</t>
  </si>
  <si>
    <t>What?  How are there no comments?  If I was a Kiwi I&amp;#39;d definitely want to try and become a cop!  If you watch the credits it looks like pretty much everyone in this video is with the NZ Police.  Have to come visit some time!</t>
  </si>
  <si>
    <t>How does this have a million views but no comments XD</t>
  </si>
  <si>
    <t>new Zealand for life</t>
  </si>
  <si>
    <t>Wow - NZ is AWESOME!&lt;br&gt;I mean compare THIS to the UK&amp;#39;s &amp;quot;its OK to cry ARMY recruitment video&amp;quot;&lt;br&gt;New Zealand is the last truly FREE and FUN place on earth!</t>
  </si>
  <si>
    <t>So proud to be Kiwi!! :D GO NZ POLICE!!!</t>
  </si>
  <si>
    <t>Song</t>
  </si>
  <si>
    <t>Interesting video</t>
  </si>
  <si>
    <t>Wow i like it</t>
  </si>
  <si>
    <t>Yeeyah NZ</t>
  </si>
  <si>
    <t>Okay, i&amp;#39;m from Brazil and now i want to be a NZ Cop haha.</t>
  </si>
  <si>
    <t>This video is very cool!Do you like it? I love it so much</t>
  </si>
  <si>
    <t>9 months and no comments wow,</t>
  </si>
  <si>
    <t>it&amp;#39;s just a tired tied to my waist with a bit of rope haha</t>
  </si>
  <si>
    <t>_xD83D__xDE02__xD83D__xDE02__xD83D__xDE02_</t>
  </si>
  <si>
    <t>Hi</t>
  </si>
  <si>
    <t>Why don’t you lot show the comments for all of us to read? Govt censorship smacks of a bs message!</t>
  </si>
  <si>
    <t>_xD83D__xDE02_</t>
  </si>
  <si>
    <t>loved that...NZ is a peaceful country in the world..Bcz it&amp;#39;s surrounded by ocean?? _xD83D__xDE02_</t>
  </si>
  <si>
    <t>Im honestly so proud to be kiwi ❤️</t>
  </si>
  <si>
    <t>If you guys aren’t flooded with applicants after this ...  _xD83E__xDD14_</t>
  </si>
  <si>
    <t>I love the lady in yellow who keeps popping up in these videos_xD83D__xDE02__xD83D__xDE02_</t>
  </si>
  <si>
    <t>Why am I not born in New Zealand I could be a cop there</t>
  </si>
  <si>
    <t>I’ve watched this 100 times still makes me smile,, proud to be a kiwi</t>
  </si>
  <si>
    <t>New Zealand is one of the safest countries in the world. Thanks to NZ police. This is also a country that is safe for burglars to live in and still get treated with human rights and privlidges much more than their victims have. Bravo, thank you NZ officers for protecting its citizens (burglar/thieving citizens) and their properties safe and sound. We can finally sleep in our homes hakuna mutata.</t>
  </si>
  <si>
    <t>New Zealand has the best recruitment videos</t>
  </si>
  <si>
    <t>Simply the best advert ever!</t>
  </si>
  <si>
    <t>FOLLOW US ON SOCIAL MEDIA:&lt;br&gt;Facebook: &lt;a href="https://bit.ly/31MlrvP"&gt;https://bit.ly/31MlrvP&lt;/a&gt;&lt;br&gt;Twitter: &lt;a href="https://bit.ly/3lw5Vfa"&gt;https://bit.ly/3lw5Vfa&lt;/a&gt;&lt;br&gt;Instagram: &lt;a href="https://bit.ly/2DbXV1y"&gt;https://bit.ly/2DbXV1y&lt;/a&gt;</t>
  </si>
  <si>
    <t>Thanks for watching everyone. Tell us what you think about the challenges young people in New Zealand face.</t>
  </si>
  <si>
    <t>AMENDMENT -  when i spoke about &amp;quot;...it is none of these&amp;quot; i should have said &amp;quot;yes these MPs cater to feminists as well but id like to talk about one MP who is doing this day in day out&amp;quot; Cheers guys.</t>
  </si>
  <si>
    <t>No way!! I&amp;#39;ve also got a nautech siren demo uploaded too under this account. It&amp;#39;s a different model to the one you have made.</t>
  </si>
  <si>
    <t>hey man! they audio download link doesn&amp;#39;t work.</t>
  </si>
  <si>
    <t>This started out as a cover version of the less I know the better by Aunty Kevin Impala, and ooh Mega Kenneth thinks he improved it children</t>
  </si>
  <si>
    <t>MEGA KENNETH AND HIS WIFE MEGA JENNETH NEED LIKES AND SUBSCRIBERS PLEASE WE NEED TO KEEP &lt;b&gt;PRODUCING&lt;/b&gt; THESE FINE NEW ZEALAND VIDEOS EEEEEEEEEEEHHHH.</t>
  </si>
  <si>
    <t>nice catch</t>
  </si>
  <si>
    <t>You got it mate! Unfortunately a lot of music has been taken off due to copyright :(</t>
  </si>
  <si>
    <t>I am assuming your talking about your last few sexual partners big boy. While Australia was founded on criminal convicts I am sure bestiality is illegal.</t>
  </si>
  <si>
    <t>Well Explained By H A Goodman, I was familiar with all  he was was saying but NZ MSM had a blackout on all the DNC / Clinton Corruption &amp;amp; we only get the Fake News side if the story here, with YT now Purging &amp;amp; Censoring it seems the Orwellian Deep State are trying to control the future by erasing the past &lt;a href="http://www.youtube.com/results?search_query=%23MAGA2020"&gt;#MAGA2020&lt;/a&gt; - Librealisim Find a Cure</t>
  </si>
  <si>
    <t>digchri2</t>
  </si>
  <si>
    <t>Carrie Marc</t>
  </si>
  <si>
    <t>Erik Samurai エリック</t>
  </si>
  <si>
    <t>BS Allergy</t>
  </si>
  <si>
    <t>Spacebaby21</t>
  </si>
  <si>
    <t>Paul Duffy</t>
  </si>
  <si>
    <t>Robert Russell</t>
  </si>
  <si>
    <t>Tim Smith</t>
  </si>
  <si>
    <t>Edie</t>
  </si>
  <si>
    <t>GrammaMouse</t>
  </si>
  <si>
    <t>Kleuter Orie</t>
  </si>
  <si>
    <t>Levi Martin</t>
  </si>
  <si>
    <t>Hatrackman</t>
  </si>
  <si>
    <t>seapr6</t>
  </si>
  <si>
    <t>Linda</t>
  </si>
  <si>
    <t>Alberto Carrà</t>
  </si>
  <si>
    <t>Sterling Price</t>
  </si>
  <si>
    <t>Katie Cat</t>
  </si>
  <si>
    <t>MI5 Handled</t>
  </si>
  <si>
    <t>Suzie Greer</t>
  </si>
  <si>
    <t>Nina Borovsky</t>
  </si>
  <si>
    <t>Jake Campbell</t>
  </si>
  <si>
    <t>Star Lord</t>
  </si>
  <si>
    <t>The Truth Hurts</t>
  </si>
  <si>
    <t>Perfect Students</t>
  </si>
  <si>
    <t>Charles SG</t>
  </si>
  <si>
    <t>bitlikethat</t>
  </si>
  <si>
    <t>Jimmy Santos</t>
  </si>
  <si>
    <t>Mandy</t>
  </si>
  <si>
    <t>SliWill</t>
  </si>
  <si>
    <t>Carol Green</t>
  </si>
  <si>
    <t>feisty12</t>
  </si>
  <si>
    <t>Reet Legna</t>
  </si>
  <si>
    <t>FATALSPRINT</t>
  </si>
  <si>
    <t>War Kids</t>
  </si>
  <si>
    <t>Robert Clark</t>
  </si>
  <si>
    <t>Steven G</t>
  </si>
  <si>
    <t>Anna Fisher</t>
  </si>
  <si>
    <t>Margaret OBrien</t>
  </si>
  <si>
    <t>sathearn</t>
  </si>
  <si>
    <t>Jacob M</t>
  </si>
  <si>
    <t>MajorPhilGraves</t>
  </si>
  <si>
    <t>ezza nz</t>
  </si>
  <si>
    <t>tony b</t>
  </si>
  <si>
    <t>Dinesh</t>
  </si>
  <si>
    <t>Yüşa Kuzgun</t>
  </si>
  <si>
    <t>Lliam Jurdom</t>
  </si>
  <si>
    <t>Sistar Aleeyah</t>
  </si>
  <si>
    <t>Anton James</t>
  </si>
  <si>
    <t>Green Hands _xD83E__xDD6C_</t>
  </si>
  <si>
    <t>Ian Wilson</t>
  </si>
  <si>
    <t>Armana Saint Clair</t>
  </si>
  <si>
    <t>B Lewis</t>
  </si>
  <si>
    <t>A. Loren</t>
  </si>
  <si>
    <t>Matiu Kaikiko</t>
  </si>
  <si>
    <t>Serenity</t>
  </si>
  <si>
    <t>Grandpa</t>
  </si>
  <si>
    <t>BLVCK JUAN</t>
  </si>
  <si>
    <t>S1NB4D</t>
  </si>
  <si>
    <t>wallybords</t>
  </si>
  <si>
    <t>clarity seer</t>
  </si>
  <si>
    <t>Game Archiver</t>
  </si>
  <si>
    <t>Gaulin Didier</t>
  </si>
  <si>
    <t>ADAM TECHY VLOGS</t>
  </si>
  <si>
    <t>abdelfromohio</t>
  </si>
  <si>
    <t>KJMax</t>
  </si>
  <si>
    <t>Tohurangi</t>
  </si>
  <si>
    <t>Lewis Jones</t>
  </si>
  <si>
    <t>gmdethierry</t>
  </si>
  <si>
    <t>ufa</t>
  </si>
  <si>
    <t>Papa Sutton</t>
  </si>
  <si>
    <t>Whimsy</t>
  </si>
  <si>
    <t>Michael Gordon</t>
  </si>
  <si>
    <t>SuckCesspool Endeavors</t>
  </si>
  <si>
    <t>Shinobi Wan</t>
  </si>
  <si>
    <t>Richard Teale</t>
  </si>
  <si>
    <t>Rambo5786</t>
  </si>
  <si>
    <t>wascawy wabbit098</t>
  </si>
  <si>
    <t>Wi!l</t>
  </si>
  <si>
    <t xml:space="preserve">Jim Davis </t>
  </si>
  <si>
    <t>Peter Rhodes</t>
  </si>
  <si>
    <t>Tony D'Agostino</t>
  </si>
  <si>
    <t>Space Comma</t>
  </si>
  <si>
    <t>Wayne Thera</t>
  </si>
  <si>
    <t>Ungracixus</t>
  </si>
  <si>
    <t>Darlene Wilson</t>
  </si>
  <si>
    <t>John Shepard</t>
  </si>
  <si>
    <t>Typical Trivoツ</t>
  </si>
  <si>
    <t>Abe Coulter</t>
  </si>
  <si>
    <t>Sterf</t>
  </si>
  <si>
    <t>Braiden Marshall</t>
  </si>
  <si>
    <t>Susan Baker</t>
  </si>
  <si>
    <t>SIG Spear Thumb</t>
  </si>
  <si>
    <t>Philip Harris</t>
  </si>
  <si>
    <t>yanny loyer</t>
  </si>
  <si>
    <t>Oliver</t>
  </si>
  <si>
    <t>Tosha da Vinci</t>
  </si>
  <si>
    <t>Martyn Buckley</t>
  </si>
  <si>
    <t>Sascha Hunt</t>
  </si>
  <si>
    <t>ripote lacarotte</t>
  </si>
  <si>
    <t>Exploring with the Stewarts</t>
  </si>
  <si>
    <t>nether man</t>
  </si>
  <si>
    <t>str8dominican</t>
  </si>
  <si>
    <t>Curtis Thomas</t>
  </si>
  <si>
    <t>Thomas A. Anderson</t>
  </si>
  <si>
    <t>Just A Stranger</t>
  </si>
  <si>
    <t>jessica Strathdee</t>
  </si>
  <si>
    <t>Simon. Hughes</t>
  </si>
  <si>
    <t>Leonard Cullarn</t>
  </si>
  <si>
    <t>Wairoa4Ever</t>
  </si>
  <si>
    <t>Mark Wairepo</t>
  </si>
  <si>
    <t>LANCE MILLWARD</t>
  </si>
  <si>
    <t>Chris McKellar</t>
  </si>
  <si>
    <t>ndog37</t>
  </si>
  <si>
    <t>Jaime #1</t>
  </si>
  <si>
    <t>James Massey</t>
  </si>
  <si>
    <t>William Miller</t>
  </si>
  <si>
    <t>piggyslayer1999</t>
  </si>
  <si>
    <t>yoda56789</t>
  </si>
  <si>
    <t>Zealandians</t>
  </si>
  <si>
    <t>Imperators_</t>
  </si>
  <si>
    <t>fugglie</t>
  </si>
  <si>
    <t>Kiwi Newz_xD83C__xDDFA__xD83C__xDDE6_</t>
  </si>
  <si>
    <t>Ted Jcp2</t>
  </si>
  <si>
    <t>Jacob Michalski</t>
  </si>
  <si>
    <t>Karl Marx</t>
  </si>
  <si>
    <t>gina parker</t>
  </si>
  <si>
    <t>Sue TJFL (Sue TJFL)</t>
  </si>
  <si>
    <t>Jenny</t>
  </si>
  <si>
    <t>isaac sweetapple</t>
  </si>
  <si>
    <t>Stan Ellis</t>
  </si>
  <si>
    <t>ShmooieLowenstein</t>
  </si>
  <si>
    <t>AFP557</t>
  </si>
  <si>
    <t>Bri5ol</t>
  </si>
  <si>
    <t>Invisty</t>
  </si>
  <si>
    <t>Hellsw0rth</t>
  </si>
  <si>
    <t>Falken Anamor</t>
  </si>
  <si>
    <t>N</t>
  </si>
  <si>
    <t>bluewardog</t>
  </si>
  <si>
    <t xml:space="preserve">Æ Kiwi </t>
  </si>
  <si>
    <t>angus kirk</t>
  </si>
  <si>
    <t>Walter Zamalis</t>
  </si>
  <si>
    <t>Peter</t>
  </si>
  <si>
    <t>Dagos</t>
  </si>
  <si>
    <t>Jarrad Ghent</t>
  </si>
  <si>
    <t>gareth double</t>
  </si>
  <si>
    <t>Gnome de Plume</t>
  </si>
  <si>
    <t>Sean</t>
  </si>
  <si>
    <t>Nicola Holgate</t>
  </si>
  <si>
    <t>jadiff</t>
  </si>
  <si>
    <t>Some Person</t>
  </si>
  <si>
    <t>The Trainspotter From Gisborne</t>
  </si>
  <si>
    <t>Wikham the boi</t>
  </si>
  <si>
    <t>fastbike</t>
  </si>
  <si>
    <t>Dean Witt</t>
  </si>
  <si>
    <t>Mountain Streams</t>
  </si>
  <si>
    <t>Stopthegreed</t>
  </si>
  <si>
    <t>Okusitino</t>
  </si>
  <si>
    <t>Daddybob</t>
  </si>
  <si>
    <t>Sebastian M8</t>
  </si>
  <si>
    <t>Caleb the second movie pack</t>
  </si>
  <si>
    <t>TacticalUnicorn 91</t>
  </si>
  <si>
    <t>Georgi Georgiev</t>
  </si>
  <si>
    <t>jordan rader</t>
  </si>
  <si>
    <t>Lachlan's Aviation</t>
  </si>
  <si>
    <t>noodlery</t>
  </si>
  <si>
    <t>C B</t>
  </si>
  <si>
    <t>Craig Shaw</t>
  </si>
  <si>
    <t>AwkwrdPrtMskrt</t>
  </si>
  <si>
    <t>Bank Burner</t>
  </si>
  <si>
    <t>Jack Tattersall</t>
  </si>
  <si>
    <t>postminchoppa</t>
  </si>
  <si>
    <t>h c</t>
  </si>
  <si>
    <t>Liam Van Dijk</t>
  </si>
  <si>
    <t>plaque222</t>
  </si>
  <si>
    <t>SBPnz</t>
  </si>
  <si>
    <t>luey</t>
  </si>
  <si>
    <t>RyanJZZ20</t>
  </si>
  <si>
    <t>88ABRAMS88</t>
  </si>
  <si>
    <t>C</t>
  </si>
  <si>
    <t>Jes Jes</t>
  </si>
  <si>
    <t>Sebastian Yang</t>
  </si>
  <si>
    <t xml:space="preserve">BD-83 </t>
  </si>
  <si>
    <t>Matvall</t>
  </si>
  <si>
    <t>Thomas Jing Yang Guan Guan</t>
  </si>
  <si>
    <t>Nookie Cookies</t>
  </si>
  <si>
    <t>Chris Weir</t>
  </si>
  <si>
    <t>-Trajan-</t>
  </si>
  <si>
    <t>Storm</t>
  </si>
  <si>
    <t>REELFEEDMEDIA</t>
  </si>
  <si>
    <t>media boxtv</t>
  </si>
  <si>
    <t>Bay Of Plenty Media</t>
  </si>
  <si>
    <t>ENKI'S FUN TECHNO STUFF</t>
  </si>
  <si>
    <t>Alexander Loadsman The Fire Buff</t>
  </si>
  <si>
    <t>Retracted statement</t>
  </si>
  <si>
    <t>Ashto the fire guy</t>
  </si>
  <si>
    <t>pricey51</t>
  </si>
  <si>
    <t>barnowl</t>
  </si>
  <si>
    <t>Barry Nichols</t>
  </si>
  <si>
    <t>Daniel Warnock</t>
  </si>
  <si>
    <t>Listayn George</t>
  </si>
  <si>
    <t>Trinacaria</t>
  </si>
  <si>
    <t>Matthew Brown</t>
  </si>
  <si>
    <t>jdatwhiterocks</t>
  </si>
  <si>
    <t>skid man</t>
  </si>
  <si>
    <t>Jeni10</t>
  </si>
  <si>
    <t>Greg Crawford</t>
  </si>
  <si>
    <t>DarthTubs</t>
  </si>
  <si>
    <t>Zephyrus</t>
  </si>
  <si>
    <t>Kenneth Bell</t>
  </si>
  <si>
    <t>Sharna AuckerArt</t>
  </si>
  <si>
    <t>Leanda B</t>
  </si>
  <si>
    <t>Dtwisty</t>
  </si>
  <si>
    <t>Bellenickna2am</t>
  </si>
  <si>
    <t>grahame john</t>
  </si>
  <si>
    <t>Rob Parsons</t>
  </si>
  <si>
    <t>Sally May</t>
  </si>
  <si>
    <t>June Ross</t>
  </si>
  <si>
    <t>Matt Halpin</t>
  </si>
  <si>
    <t>gravelsanga</t>
  </si>
  <si>
    <t>Ian Hopkins</t>
  </si>
  <si>
    <t>Paul Kristoff</t>
  </si>
  <si>
    <t>Nath R</t>
  </si>
  <si>
    <t>Sharene Drennan</t>
  </si>
  <si>
    <t>jean-claude schwartz</t>
  </si>
  <si>
    <t>glacier activity</t>
  </si>
  <si>
    <t>Leslie Davis</t>
  </si>
  <si>
    <t>Tracey Turner</t>
  </si>
  <si>
    <t>Hayden james</t>
  </si>
  <si>
    <t>King Country Kiwi</t>
  </si>
  <si>
    <t>genix676yt</t>
  </si>
  <si>
    <t>It's Henry</t>
  </si>
  <si>
    <t>Myunosarus</t>
  </si>
  <si>
    <t>Brandon O'Sullivan</t>
  </si>
  <si>
    <t>Reese Bell</t>
  </si>
  <si>
    <t>Andrew Shanaghan</t>
  </si>
  <si>
    <t>Camilla Koutsos nz</t>
  </si>
  <si>
    <t>Ali Mcintyre</t>
  </si>
  <si>
    <t>S JayTK</t>
  </si>
  <si>
    <t>BEAU</t>
  </si>
  <si>
    <t>Eileen Hildreth</t>
  </si>
  <si>
    <t>Pauline Seuala</t>
  </si>
  <si>
    <t>Wakaroa Waata</t>
  </si>
  <si>
    <t>The Old Boy</t>
  </si>
  <si>
    <t>Piers Jackson</t>
  </si>
  <si>
    <t>Dóлаldö</t>
  </si>
  <si>
    <t>BIRD FROM EGYPT</t>
  </si>
  <si>
    <t>aoteagirl nz</t>
  </si>
  <si>
    <t>Tufa Vaitusi</t>
  </si>
  <si>
    <t>ieatbricks0</t>
  </si>
  <si>
    <t>Jake Lealiiee</t>
  </si>
  <si>
    <t>T McLean</t>
  </si>
  <si>
    <t>Kylie Mills</t>
  </si>
  <si>
    <t>annalee kale</t>
  </si>
  <si>
    <t>David Ireland</t>
  </si>
  <si>
    <t>Dray Buchanan</t>
  </si>
  <si>
    <t>NZKiwi</t>
  </si>
  <si>
    <t>Johan Meischke</t>
  </si>
  <si>
    <t>Arana Buchanan</t>
  </si>
  <si>
    <t>Tipiwhenua Tanirau</t>
  </si>
  <si>
    <t>Sky Laga'aia</t>
  </si>
  <si>
    <t>Vanessa Rae</t>
  </si>
  <si>
    <t>Hadrians Wall</t>
  </si>
  <si>
    <t>Eddie Edmondson</t>
  </si>
  <si>
    <t>Sam</t>
  </si>
  <si>
    <t>parkiwi</t>
  </si>
  <si>
    <t>Phil Oliver</t>
  </si>
  <si>
    <t>NZ Falcon</t>
  </si>
  <si>
    <t>Chris Harris</t>
  </si>
  <si>
    <t>Greg Giles</t>
  </si>
  <si>
    <t>letsgo</t>
  </si>
  <si>
    <t>Thorfinn986_doesn't_do_average</t>
  </si>
  <si>
    <t>Bruce Gibbins</t>
  </si>
  <si>
    <t>Debbie Matenga</t>
  </si>
  <si>
    <t>Ser Enmei</t>
  </si>
  <si>
    <t>Eileen Quilty</t>
  </si>
  <si>
    <t>Kiwi</t>
  </si>
  <si>
    <t>j kings</t>
  </si>
  <si>
    <t>Luke Campbell</t>
  </si>
  <si>
    <t>Akiyah Smyth</t>
  </si>
  <si>
    <t>Teresa Yeates</t>
  </si>
  <si>
    <t>Emilee Watson</t>
  </si>
  <si>
    <t>nano</t>
  </si>
  <si>
    <t>WellOkThen</t>
  </si>
  <si>
    <t>Wrecklessgamer28</t>
  </si>
  <si>
    <t>jas</t>
  </si>
  <si>
    <t>Evie McInteer</t>
  </si>
  <si>
    <t>Rob j</t>
  </si>
  <si>
    <t>Joaquín Bello</t>
  </si>
  <si>
    <t>Margaret Nicholson</t>
  </si>
  <si>
    <t>Erik Gag</t>
  </si>
  <si>
    <t>ShadowMeow</t>
  </si>
  <si>
    <t>Marc Toleafoa</t>
  </si>
  <si>
    <t>giant metal dog</t>
  </si>
  <si>
    <t>Stuart the cat</t>
  </si>
  <si>
    <t>Tomas G.D.</t>
  </si>
  <si>
    <t>bayrockwhk</t>
  </si>
  <si>
    <t>The View In Wellington</t>
  </si>
  <si>
    <t>Edd1e</t>
  </si>
  <si>
    <t>Deepak Singh</t>
  </si>
  <si>
    <t>John Louise Osuyos</t>
  </si>
  <si>
    <t>shotzys</t>
  </si>
  <si>
    <t>Anakin manu</t>
  </si>
  <si>
    <t>Blue Bloods Gaming UK</t>
  </si>
  <si>
    <t>carolyn mcfarland</t>
  </si>
  <si>
    <t>Phil O'Shaughnessy</t>
  </si>
  <si>
    <t>Jason</t>
  </si>
  <si>
    <t>Benjamin Free</t>
  </si>
  <si>
    <t>Night Fire</t>
  </si>
  <si>
    <t>Louis Barningham</t>
  </si>
  <si>
    <t>Freelogen</t>
  </si>
  <si>
    <t>Kady</t>
  </si>
  <si>
    <t>Third Rate content</t>
  </si>
  <si>
    <t>Slayta</t>
  </si>
  <si>
    <t>Christian Pelle</t>
  </si>
  <si>
    <t>NickH 915</t>
  </si>
  <si>
    <t>Pablo</t>
  </si>
  <si>
    <t>Felix Kneipp</t>
  </si>
  <si>
    <t>Brain dump animations</t>
  </si>
  <si>
    <t>Jamie petrie</t>
  </si>
  <si>
    <t>Artemeus</t>
  </si>
  <si>
    <t>Respectable Bogan</t>
  </si>
  <si>
    <t>A SEXY FIREFIGHTER REX</t>
  </si>
  <si>
    <t>Caemma</t>
  </si>
  <si>
    <t>Archie Yiu</t>
  </si>
  <si>
    <t>The Duke</t>
  </si>
  <si>
    <t>ChemicalFilms</t>
  </si>
  <si>
    <t>Busi Skinn'e Mjiyakho</t>
  </si>
  <si>
    <t>Mrawi505</t>
  </si>
  <si>
    <t>Rory Thorns</t>
  </si>
  <si>
    <t>Swiss Yodeler</t>
  </si>
  <si>
    <t>Scatter Brain</t>
  </si>
  <si>
    <t>Captain Awesome 29837</t>
  </si>
  <si>
    <t>重西捺 (Zhong Xi Na)</t>
  </si>
  <si>
    <t>Scarlet Peoni</t>
  </si>
  <si>
    <t>Liam Bourke</t>
  </si>
  <si>
    <t>[DC] Josephine</t>
  </si>
  <si>
    <t>Half Moon</t>
  </si>
  <si>
    <t>Cochram the Destroyer</t>
  </si>
  <si>
    <t>Dharmender Negi</t>
  </si>
  <si>
    <t>Danta</t>
  </si>
  <si>
    <t>Normie</t>
  </si>
  <si>
    <t>Brumafriend</t>
  </si>
  <si>
    <t>Tamatini Tumahai</t>
  </si>
  <si>
    <t>Chainsor</t>
  </si>
  <si>
    <t>CommanderMozzie</t>
  </si>
  <si>
    <t>Sky Cloud</t>
  </si>
  <si>
    <t>Teishaa</t>
  </si>
  <si>
    <t>Eye Sac</t>
  </si>
  <si>
    <t>YeetYeetSilverbeet</t>
  </si>
  <si>
    <t>Aro_dynamic46</t>
  </si>
  <si>
    <t>matt wong</t>
  </si>
  <si>
    <t>Lewys Cousins</t>
  </si>
  <si>
    <t>Eaton.G s</t>
  </si>
  <si>
    <t>Stone Artisen</t>
  </si>
  <si>
    <t>Abandoned Potato</t>
  </si>
  <si>
    <t>Erena Clarke-Boyle</t>
  </si>
  <si>
    <t>TOKYO NHK</t>
  </si>
  <si>
    <t>Fps Fps</t>
  </si>
  <si>
    <t>Roshan Naidu</t>
  </si>
  <si>
    <t>PantherGX</t>
  </si>
  <si>
    <t>Rikki Felise</t>
  </si>
  <si>
    <t>Dan_Enforcement</t>
  </si>
  <si>
    <t>Waverley B</t>
  </si>
  <si>
    <t>Kristi Zhang</t>
  </si>
  <si>
    <t>Michael Credo</t>
  </si>
  <si>
    <t>Cream Puff</t>
  </si>
  <si>
    <t>Mini Unnie</t>
  </si>
  <si>
    <t>Rayhan Mollik</t>
  </si>
  <si>
    <t>shirley</t>
  </si>
  <si>
    <t>Anja Jurgenssen</t>
  </si>
  <si>
    <t>Sarah H</t>
  </si>
  <si>
    <t>Stefanie Maria</t>
  </si>
  <si>
    <t>KIWI RYKER</t>
  </si>
  <si>
    <t>Blink Intervention</t>
  </si>
  <si>
    <t>Marcus</t>
  </si>
  <si>
    <t>funkygas</t>
  </si>
  <si>
    <t>SIX News Australia</t>
  </si>
  <si>
    <t>Al Jazeera English</t>
  </si>
  <si>
    <t>The Mad MGTOW</t>
  </si>
  <si>
    <t>RedHat</t>
  </si>
  <si>
    <t>Mega Kenneth</t>
  </si>
  <si>
    <t>JustinzTube</t>
  </si>
  <si>
    <t>spieghtsandmates</t>
  </si>
  <si>
    <t>Sharn Sutherland</t>
  </si>
  <si>
    <t>SVs7wMOdOQk</t>
  </si>
  <si>
    <t>1bh2dHZIrHI</t>
  </si>
  <si>
    <t>N26V8flGCIw</t>
  </si>
  <si>
    <t>_4u8DyaykXI</t>
  </si>
  <si>
    <t>aK9RxQwdsxc</t>
  </si>
  <si>
    <t>aVwsVbiFJZU</t>
  </si>
  <si>
    <t>vRHHbTppzg8</t>
  </si>
  <si>
    <t>g-uBNYawlxU</t>
  </si>
  <si>
    <t>5XN-nzpol-A</t>
  </si>
  <si>
    <t>jaurWTKCNkc</t>
  </si>
  <si>
    <t>3fKejl2nFc4</t>
  </si>
  <si>
    <t>b-QemxdVhCY</t>
  </si>
  <si>
    <t>fpr5R_NcvJE</t>
  </si>
  <si>
    <t>rMSUji0aN-k</t>
  </si>
  <si>
    <t>HipO6JFo3Jw</t>
  </si>
  <si>
    <t>uBEOAeAliTY</t>
  </si>
  <si>
    <t>E5pyLl4d1n4</t>
  </si>
  <si>
    <t>qztPIekPtdY</t>
  </si>
  <si>
    <t>Zca2pBScnF8</t>
  </si>
  <si>
    <t>M3-wxNqzNcE</t>
  </si>
  <si>
    <t>fCFjQcgqiRU</t>
  </si>
  <si>
    <t>24GjPEXurh8</t>
  </si>
  <si>
    <t>at2tFKXepb0</t>
  </si>
  <si>
    <t>uAUaXfejTF0</t>
  </si>
  <si>
    <t>S2Q6MbgzyQ0</t>
  </si>
  <si>
    <t>wnu3EgrpDKA</t>
  </si>
  <si>
    <t>npYopq89aZk</t>
  </si>
  <si>
    <t>VMiOmNUJ-_A</t>
  </si>
  <si>
    <t>6OvHeSUrUrw</t>
  </si>
  <si>
    <t>grXXl_O02g8</t>
  </si>
  <si>
    <t>4aS_seNXq2s</t>
  </si>
  <si>
    <t>wx8RJaoVN0M</t>
  </si>
  <si>
    <t>61Q_HzqcGtk</t>
  </si>
  <si>
    <t>9YuiY3zlglo</t>
  </si>
  <si>
    <t>jc7x06un0jc</t>
  </si>
  <si>
    <t>lBULLJFAT50</t>
  </si>
  <si>
    <t>f9psILoYmCc</t>
  </si>
  <si>
    <t>nzpOL-myKOM</t>
  </si>
  <si>
    <t>-mi8HJ6kDbY</t>
  </si>
  <si>
    <t>G2zd9Uqm9m8</t>
  </si>
  <si>
    <t>miPwnLF8GYA</t>
  </si>
  <si>
    <t>g6IXnnX9pv0</t>
  </si>
  <si>
    <t>NbZ5kyGmYBo</t>
  </si>
  <si>
    <t>PLudg9xzfII</t>
  </si>
  <si>
    <t>YSxvjK3jwXI</t>
  </si>
  <si>
    <t>18iFOth6GNM</t>
  </si>
  <si>
    <t>0QY2cdNvI5c</t>
  </si>
  <si>
    <t>T-SD_mh9dM4</t>
  </si>
  <si>
    <t>rlx8MSmDiEw</t>
  </si>
  <si>
    <t>CogmDk_2b9A</t>
  </si>
  <si>
    <t>3SGW1mdbtc8</t>
  </si>
  <si>
    <t>pAnk0TK3Y7I</t>
  </si>
  <si>
    <t>_ie2B6G9cMw</t>
  </si>
  <si>
    <t>NZpOl-ebK9Q</t>
  </si>
  <si>
    <t>LFY-v_DcgRs</t>
  </si>
  <si>
    <t>jPa_1OD8-FM</t>
  </si>
  <si>
    <t>6425VEfS6VU</t>
  </si>
  <si>
    <t>1KdmlnE1q9s</t>
  </si>
  <si>
    <t>LbQWorOgNEo</t>
  </si>
  <si>
    <t>YiPjqFOnO3k</t>
  </si>
  <si>
    <t>JNfMrQVwdu0</t>
  </si>
  <si>
    <t>kB0ZSQUz-fw</t>
  </si>
  <si>
    <t>ECLOUOKoiOM</t>
  </si>
  <si>
    <t>D1fV3l3ZDJQ</t>
  </si>
  <si>
    <t>_wcT7nCe8ww</t>
  </si>
  <si>
    <t>44LphFzIXzI</t>
  </si>
  <si>
    <t>IE4qSl3XBAI</t>
  </si>
  <si>
    <t>BaD_XEBZvyo</t>
  </si>
  <si>
    <t>afMgT14PQYI</t>
  </si>
  <si>
    <t>tpeVI0gz_ac</t>
  </si>
  <si>
    <t>HHcRHrIXx74</t>
  </si>
  <si>
    <t>jax5S154pUY</t>
  </si>
  <si>
    <t>2LlqEzeKqmg</t>
  </si>
  <si>
    <t>L9MlOlol2AI</t>
  </si>
  <si>
    <t>xoF2RCyyK4I</t>
  </si>
  <si>
    <t>sNCeLoiNpjs</t>
  </si>
  <si>
    <t>BmwEbeijINQ</t>
  </si>
  <si>
    <t>w1eSm2FAqsk</t>
  </si>
  <si>
    <t>xR_V-tutJU8</t>
  </si>
  <si>
    <t>Z0XbHvcalOs</t>
  </si>
  <si>
    <t>dTCqhNCYvbg</t>
  </si>
  <si>
    <t>V0fX5Btpfto</t>
  </si>
  <si>
    <t>jfI1geY1zTw</t>
  </si>
  <si>
    <t>7fDc1QcIOt0</t>
  </si>
  <si>
    <t>ap_c9yoi6VU</t>
  </si>
  <si>
    <t>none</t>
  </si>
  <si>
    <t>13/09/2017 2:13:20 pm</t>
  </si>
  <si>
    <t>16/09/2017 4:23:48 am</t>
  </si>
  <si>
    <t>16/09/2017 4:26:36 am</t>
  </si>
  <si>
    <t>18/09/2017 12:15:34 pm</t>
  </si>
  <si>
    <t>17/10/2020 11:14:33 pm</t>
  </si>
  <si>
    <t>18/10/2020 4:36:07 am</t>
  </si>
  <si>
    <t>18/10/2020 6:38:26 am</t>
  </si>
  <si>
    <t>18/10/2020 6:48:08 am</t>
  </si>
  <si>
    <t>18/10/2020 10:23:54 am</t>
  </si>
  <si>
    <t>18/10/2020 9:52:51 pm</t>
  </si>
  <si>
    <t>25/10/2020 10:14:52 pm</t>
  </si>
  <si>
    <t>15/05/2019 6:42:54 am</t>
  </si>
  <si>
    <t>19/08/2019 4:40:03 pm</t>
  </si>
  <si>
    <t>23/03/2020 1:45:39 am</t>
  </si>
  <si>
    <t>26/03/2020 12:27:37 pm</t>
  </si>
  <si>
    <t>19/05/2020 6:09:20 pm</t>
  </si>
  <si>
    <t>23/11/2020 9:06:24 am</t>
  </si>
  <si>
    <t>23/11/2020 9:20:52 am</t>
  </si>
  <si>
    <t>23/11/2020 9:27:28 am</t>
  </si>
  <si>
    <t>23/11/2020 9:32:05 am</t>
  </si>
  <si>
    <t>23/11/2020 9:51:43 am</t>
  </si>
  <si>
    <t>23/11/2020 9:57:02 am</t>
  </si>
  <si>
    <t>23/11/2020 10:09:37 am</t>
  </si>
  <si>
    <t>23/11/2020 10:13:54 am</t>
  </si>
  <si>
    <t>23/11/2020 10:20:39 am</t>
  </si>
  <si>
    <t>23/11/2020 10:28:29 am</t>
  </si>
  <si>
    <t>23/11/2020 11:07:40 am</t>
  </si>
  <si>
    <t>23/11/2020 11:14:17 am</t>
  </si>
  <si>
    <t>23/11/2020 11:22:03 am</t>
  </si>
  <si>
    <t>23/11/2020 11:25:10 am</t>
  </si>
  <si>
    <t>23/11/2020 12:22:16 pm</t>
  </si>
  <si>
    <t>23/11/2020 12:36:07 pm</t>
  </si>
  <si>
    <t>23/11/2020 1:14:19 pm</t>
  </si>
  <si>
    <t>23/11/2020 1:39:38 pm</t>
  </si>
  <si>
    <t>23/11/2020 3:08:15 pm</t>
  </si>
  <si>
    <t>23/11/2020 3:49:20 pm</t>
  </si>
  <si>
    <t>23/11/2020 4:02:50 pm</t>
  </si>
  <si>
    <t>23/11/2020 8:38:30 pm</t>
  </si>
  <si>
    <t>24/11/2020 2:01:01 am</t>
  </si>
  <si>
    <t>24/11/2020 2:03:54 am</t>
  </si>
  <si>
    <t>24/11/2020 7:25:06 pm</t>
  </si>
  <si>
    <t>24/11/2020 7:37:31 pm</t>
  </si>
  <si>
    <t>16/10/2020 5:57:47 pm</t>
  </si>
  <si>
    <t>15/12/2020 2:32:59 pm</t>
  </si>
  <si>
    <t>17/12/2020 6:39:24 pm</t>
  </si>
  <si>
    <t>21/12/2020 10:29:37 am</t>
  </si>
  <si>
    <t>18/10/2020 3:48:27 am</t>
  </si>
  <si>
    <t>18/10/2020 7:17:46 am</t>
  </si>
  <si>
    <t>20/01/2023 6:44:46 pm</t>
  </si>
  <si>
    <t>14/03/2022 3:49:47 am</t>
  </si>
  <si>
    <t>14/10/2022 7:54:48 pm</t>
  </si>
  <si>
    <t>17/04/2023 1:18:47 am</t>
  </si>
  <si>
    <t>21/11/2022 3:11:19 pm</t>
  </si>
  <si>
    <t>21/05/2023 8:26:13 pm</t>
  </si>
  <si>
    <t>30/08/2017 9:09:18 am</t>
  </si>
  <si>
    <t>24/08/2022 5:58:29 pm</t>
  </si>
  <si>
    <t>22/09/2022 10:01:40 am</t>
  </si>
  <si>
    <t>13/10/2022 1:37:50 pm</t>
  </si>
  <si>
    <t>22/03/2023 9:10:43 am</t>
  </si>
  <si>
    <t>24/02/2022 7:02:50 pm</t>
  </si>
  <si>
    <t>17/08/2020 8:19:26 pm</t>
  </si>
  <si>
    <t>24/09/2017 2:24:59 pm</t>
  </si>
  <si>
    <t>14/08/2022 2:51:01 am</t>
  </si>
  <si>
    <t>14/08/2022 10:12:04 am</t>
  </si>
  <si>
    <t>24/01/2023 3:33:44 pm</t>
  </si>
  <si>
    <t>27/01/2023 5:48:14 pm</t>
  </si>
  <si>
    <t>13/02/2023 9:44:44 am</t>
  </si>
  <si>
    <t>15/02/2023 6:04:08 am</t>
  </si>
  <si>
    <t>17/04/2023 5:19:06 pm</t>
  </si>
  <si>
    <t>16/04/2021 10:49:21 am</t>
  </si>
  <si>
    <t>27/05/2021 10:57:18 pm</t>
  </si>
  <si>
    <t>15/07/2022 4:10:20 am</t>
  </si>
  <si>
    <t>15/07/2022 5:28:36 am</t>
  </si>
  <si>
    <t>15/07/2022 6:18:52 am</t>
  </si>
  <si>
    <t>16/07/2022 3:55:31 am</t>
  </si>
  <si>
    <t>16/07/2022 4:03:32 am</t>
  </si>
  <si>
    <t>21/01/2023 3:11:27 pm</t>
  </si>
  <si>
    <t>25/02/2023 1:53:43 pm</t>
  </si>
  <si>
    <t>22/02/2023 10:00:30 pm</t>
  </si>
  <si>
    <t>24/02/2023 7:31:14 am</t>
  </si>
  <si>
    <t>14/03/2023 12:41:13 am</t>
  </si>
  <si>
    <t>14/03/2023 5:03:11 am</t>
  </si>
  <si>
    <t>23/05/2023 9:30:07 am</t>
  </si>
  <si>
    <t>14/05/2019 5:47:19 pm</t>
  </si>
  <si>
    <t>28/07/2019 3:14:57 pm</t>
  </si>
  <si>
    <t>23/09/2019 7:53:03 pm</t>
  </si>
  <si>
    <t>26/02/2020 9:24:31 pm</t>
  </si>
  <si>
    <t>23/05/2020 9:55:21 pm</t>
  </si>
  <si>
    <t>25/05/2020 12:02:33 am</t>
  </si>
  <si>
    <t>26/05/2020 4:05:59 pm</t>
  </si>
  <si>
    <t>21/08/2020 9:43:50 am</t>
  </si>
  <si>
    <t>30/08/2021 1:34:24 pm</t>
  </si>
  <si>
    <t>19/09/2021 10:21:35 am</t>
  </si>
  <si>
    <t>15/03/2022 9:23:10 pm</t>
  </si>
  <si>
    <t>24/01/2023 11:11:50 pm</t>
  </si>
  <si>
    <t>24/01/2023 11:21:45 pm</t>
  </si>
  <si>
    <t>24/01/2023 11:37:15 pm</t>
  </si>
  <si>
    <t>21/02/2018 3:49:03 pm</t>
  </si>
  <si>
    <t>13/03/2018 10:23:16 pm</t>
  </si>
  <si>
    <t>14/05/2018 5:31:57 pm</t>
  </si>
  <si>
    <t>29/04/2018 11:35:30 am</t>
  </si>
  <si>
    <t>17/11/2018 7:39:58 pm</t>
  </si>
  <si>
    <t>19/11/2018 6:45:47 pm</t>
  </si>
  <si>
    <t>22/09/2022 7:41:47 am</t>
  </si>
  <si>
    <t>22/01/2023 1:57:50 am</t>
  </si>
  <si>
    <t>24/01/2023 5:55:14 pm</t>
  </si>
  <si>
    <t>26/03/2023 1:03:42 pm</t>
  </si>
  <si>
    <t>24/04/2023 5:36:43 pm</t>
  </si>
  <si>
    <t>27/03/2009 8:53:42 am</t>
  </si>
  <si>
    <t>28/08/2009 9:56:49 pm</t>
  </si>
  <si>
    <t>14/11/2009 10:51:07 pm</t>
  </si>
  <si>
    <t>23/01/2010 10:05:07 am</t>
  </si>
  <si>
    <t>30/05/2010 1:42:36 pm</t>
  </si>
  <si>
    <t>19/06/2010 1:32:39 am</t>
  </si>
  <si>
    <t>23/01/2013 10:59:01 pm</t>
  </si>
  <si>
    <t>31/07/2013 7:26:22 am</t>
  </si>
  <si>
    <t>15/08/2013 12:06:58 pm</t>
  </si>
  <si>
    <t>24/01/2016 3:44:47 pm</t>
  </si>
  <si>
    <t>14/11/2016 3:26:42 pm</t>
  </si>
  <si>
    <t>16/05/2018 5:57:27 pm</t>
  </si>
  <si>
    <t>19/08/2018 8:33:43 am</t>
  </si>
  <si>
    <t>16/07/2021 11:03:32 am</t>
  </si>
  <si>
    <t>30/07/2021 8:37:52 am</t>
  </si>
  <si>
    <t>19/12/2022 10:46:21 pm</t>
  </si>
  <si>
    <t>27/12/2021 4:23:41 pm</t>
  </si>
  <si>
    <t>27/12/2021 4:33:18 pm</t>
  </si>
  <si>
    <t>27/12/2021 4:33:37 pm</t>
  </si>
  <si>
    <t>27/12/2021 4:37:49 pm</t>
  </si>
  <si>
    <t>27/12/2021 5:14:31 pm</t>
  </si>
  <si>
    <t>27/12/2021 5:19:48 pm</t>
  </si>
  <si>
    <t>27/12/2021 6:00:25 pm</t>
  </si>
  <si>
    <t>27/12/2021 6:03:21 pm</t>
  </si>
  <si>
    <t>27/12/2021 7:00:55 pm</t>
  </si>
  <si>
    <t>27/12/2021 7:37:38 pm</t>
  </si>
  <si>
    <t>27/12/2021 8:41:38 pm</t>
  </si>
  <si>
    <t>27/12/2021 8:42:35 pm</t>
  </si>
  <si>
    <t>27/12/2021 8:56:11 pm</t>
  </si>
  <si>
    <t>27/12/2021 8:59:31 pm</t>
  </si>
  <si>
    <t>27/12/2021 9:12:10 pm</t>
  </si>
  <si>
    <t>27/12/2021 9:57:14 pm</t>
  </si>
  <si>
    <t>27/12/2021 10:22:28 pm</t>
  </si>
  <si>
    <t>27/12/2021 10:51:49 pm</t>
  </si>
  <si>
    <t>27/12/2021 11:26:03 pm</t>
  </si>
  <si>
    <t>28/12/2021 2:29:56 am</t>
  </si>
  <si>
    <t>28/12/2021 3:35:34 am</t>
  </si>
  <si>
    <t>28/12/2021 4:51:51 am</t>
  </si>
  <si>
    <t>28/12/2021 10:38:05 am</t>
  </si>
  <si>
    <t>28/12/2021 12:14:41 pm</t>
  </si>
  <si>
    <t>28/12/2021 2:46:26 pm</t>
  </si>
  <si>
    <t>28/12/2021 4:13:46 pm</t>
  </si>
  <si>
    <t>28/12/2021 9:34:20 pm</t>
  </si>
  <si>
    <t>29/12/2021 4:14:46 pm</t>
  </si>
  <si>
    <t>30/12/2021 9:36:34 am</t>
  </si>
  <si>
    <t>31/12/2021 3:00:37 pm</t>
  </si>
  <si>
    <t>31/12/2021 6:58:26 pm</t>
  </si>
  <si>
    <t>19/01/2022 6:31:04 pm</t>
  </si>
  <si>
    <t>23/01/2022 2:40:17 am</t>
  </si>
  <si>
    <t>23/01/2022 6:38:22 am</t>
  </si>
  <si>
    <t>23/01/2022 8:31:30 am</t>
  </si>
  <si>
    <t>30/01/2022 5:13:11 am</t>
  </si>
  <si>
    <t>18/02/2022 11:50:22 pm</t>
  </si>
  <si>
    <t>25/03/2022 9:42:53 pm</t>
  </si>
  <si>
    <t>15/04/2022 12:34:38 pm</t>
  </si>
  <si>
    <t>24/04/2022 7:19:46 pm</t>
  </si>
  <si>
    <t>25/04/2022 1:20:17 am</t>
  </si>
  <si>
    <t>18/05/2022 12:23:35 pm</t>
  </si>
  <si>
    <t>14/06/2022 7:26:37 pm</t>
  </si>
  <si>
    <t>22/06/2022 3:17:56 pm</t>
  </si>
  <si>
    <t>25/07/2022 11:12:54 pm</t>
  </si>
  <si>
    <t>31/07/2022 6:36:48 pm</t>
  </si>
  <si>
    <t>31/07/2022 9:55:57 pm</t>
  </si>
  <si>
    <t>31/07/2022 10:01:14 pm</t>
  </si>
  <si>
    <t>14/08/2022 6:42:58 pm</t>
  </si>
  <si>
    <t>23/09/2022 6:08:55 pm</t>
  </si>
  <si>
    <t>23/10/2022 4:03:31 pm</t>
  </si>
  <si>
    <t>25/10/2022 9:02:40 am</t>
  </si>
  <si>
    <t>20/11/2022 10:27:00 pm</t>
  </si>
  <si>
    <t>27/12/2021 8:23:41 pm</t>
  </si>
  <si>
    <t>30/11/2022 6:21:34 pm</t>
  </si>
  <si>
    <t>19/01/2023 4:26:25 pm</t>
  </si>
  <si>
    <t>29/01/2023 5:17:31 am</t>
  </si>
  <si>
    <t>28/02/2023 9:29:09 pm</t>
  </si>
  <si>
    <t>18/03/2023 1:09:16 pm</t>
  </si>
  <si>
    <t>23/05/2023 8:10:35 pm</t>
  </si>
  <si>
    <t>13/12/2017 1:24:16 am</t>
  </si>
  <si>
    <t>14/12/2017 9:01:47 am</t>
  </si>
  <si>
    <t>14/12/2017 9:50:26 am</t>
  </si>
  <si>
    <t>15/12/2017 10:38:57 am</t>
  </si>
  <si>
    <t>17/12/2017 3:33:16 am</t>
  </si>
  <si>
    <t>17/12/2017 6:50:34 pm</t>
  </si>
  <si>
    <t>18/12/2017 1:59:15 pm</t>
  </si>
  <si>
    <t>18/12/2017 5:42:24 pm</t>
  </si>
  <si>
    <t>20/12/2017 11:28:10 am</t>
  </si>
  <si>
    <t>23/12/2017 5:30:10 pm</t>
  </si>
  <si>
    <t>24/12/2017 2:36:03 am</t>
  </si>
  <si>
    <t>25/12/2017 12:25:47 am</t>
  </si>
  <si>
    <t>26/12/2017 7:16:26 pm</t>
  </si>
  <si>
    <t>27/12/2017 1:59:31 pm</t>
  </si>
  <si>
    <t>28/12/2017 5:25:57 am</t>
  </si>
  <si>
    <t>28/12/2017 12:02:31 pm</t>
  </si>
  <si>
    <t>29/12/2017 6:41:23 am</t>
  </si>
  <si>
    <t>29/12/2017 1:14:04 pm</t>
  </si>
  <si>
    <t>15/01/2018 8:32:30 am</t>
  </si>
  <si>
    <t>19/01/2018 4:42:20 pm</t>
  </si>
  <si>
    <t>20/01/2018 5:42:57 am</t>
  </si>
  <si>
    <t>20/01/2018 10:15:31 pm</t>
  </si>
  <si>
    <t>24/01/2018 4:41:42 pm</t>
  </si>
  <si>
    <t>26/01/2018 11:49:28 pm</t>
  </si>
  <si>
    <t>27/01/2018 3:30:11 am</t>
  </si>
  <si>
    <t>27/01/2018 6:02:44 am</t>
  </si>
  <si>
    <t>28/01/2018 11:12:20 pm</t>
  </si>
  <si>
    <t>29/01/2018 6:39:48 pm</t>
  </si>
  <si>
    <t>29/01/2018 9:57:56 pm</t>
  </si>
  <si>
    <t>31/01/2018 9:17:02 am</t>
  </si>
  <si>
    <t>16/02/2018 9:25:48 pm</t>
  </si>
  <si>
    <t>21/02/2018 7:31:30 pm</t>
  </si>
  <si>
    <t>22/02/2018 11:00:10 pm</t>
  </si>
  <si>
    <t>25/02/2018 7:03:49 pm</t>
  </si>
  <si>
    <t>27/02/2018 4:40:51 am</t>
  </si>
  <si>
    <t>14/03/2018 12:09:37 am</t>
  </si>
  <si>
    <t>29/03/2018 10:55:48 pm</t>
  </si>
  <si>
    <t>31/03/2018 8:20:44 pm</t>
  </si>
  <si>
    <t>17/04/2018 9:47:41 am</t>
  </si>
  <si>
    <t>20/04/2018 2:33:13 pm</t>
  </si>
  <si>
    <t>20/04/2018 6:54:57 pm</t>
  </si>
  <si>
    <t>22/04/2018 12:08:42 am</t>
  </si>
  <si>
    <t>25/04/2018 8:11:06 pm</t>
  </si>
  <si>
    <t>29/04/2018 2:21:13 am</t>
  </si>
  <si>
    <t>29/04/2018 3:47:15 pm</t>
  </si>
  <si>
    <t>30/04/2018 9:40:01 am</t>
  </si>
  <si>
    <t>15/05/2018 11:12:10 pm</t>
  </si>
  <si>
    <t>17/05/2018 5:44:46 pm</t>
  </si>
  <si>
    <t>17/05/2018 9:56:12 pm</t>
  </si>
  <si>
    <t>18/05/2018 2:09:07 am</t>
  </si>
  <si>
    <t>18/05/2018 7:00:31 am</t>
  </si>
  <si>
    <t>22/05/2018 3:44:52 pm</t>
  </si>
  <si>
    <t>20/06/2018 4:38:02 pm</t>
  </si>
  <si>
    <t>28/08/2018 3:30:39 pm</t>
  </si>
  <si>
    <t>18/09/2018 4:38:23 pm</t>
  </si>
  <si>
    <t>20/10/2018 1:38:37 pm</t>
  </si>
  <si>
    <t>31/10/2018 4:27:30 am</t>
  </si>
  <si>
    <t>21/07/2019 5:01:46 am</t>
  </si>
  <si>
    <t>22/07/2019 5:43:53 pm</t>
  </si>
  <si>
    <t>13/08/2019 4:45:52 am</t>
  </si>
  <si>
    <t>15/08/2019 7:28:45 am</t>
  </si>
  <si>
    <t>22/09/2019 11:22:08 pm</t>
  </si>
  <si>
    <t>19/03/2020 8:49:55 am</t>
  </si>
  <si>
    <t>17/10/2020 11:13:34 pm</t>
  </si>
  <si>
    <t>17/10/2020 11:08:16 pm</t>
  </si>
  <si>
    <t>29/05/2020 10:53:28 pm</t>
  </si>
  <si>
    <t>30/05/2020 8:01:24 pm</t>
  </si>
  <si>
    <t>19/11/2020 8:56:34 am</t>
  </si>
  <si>
    <t>14/09/2017 4:30:45 pm</t>
  </si>
  <si>
    <t>29/04/2022 11:55:57 am</t>
  </si>
  <si>
    <t>23/11/2020 9:01:39 am</t>
  </si>
  <si>
    <t>23/11/2020 9:01:53 am</t>
  </si>
  <si>
    <t>21/01/2023 11:29:00 am</t>
  </si>
  <si>
    <t>17/02/2022 1:04:24 am</t>
  </si>
  <si>
    <t>16/06/2019 1:16:31 pm</t>
  </si>
  <si>
    <t>15/08/2019 11:58:27 pm</t>
  </si>
  <si>
    <t>24/10/2021 11:39:09 pm</t>
  </si>
  <si>
    <t>18/10/2020 12:34:37 am</t>
  </si>
  <si>
    <t>22/09/2022 9:36:57 am</t>
  </si>
  <si>
    <t>15/03/2022 8:23:50 pm</t>
  </si>
  <si>
    <t>30/08/2017 9:15:29 am</t>
  </si>
  <si>
    <t>16/05/2023 2:14:40 pm</t>
  </si>
  <si>
    <t>19/01/2023 3:48:09 pm</t>
  </si>
  <si>
    <t>24/08/2022 2:59:11 pm</t>
  </si>
  <si>
    <t>20/03/2015 1:48:37 pm</t>
  </si>
  <si>
    <t>26/06/2020 10:20:39 pm</t>
  </si>
  <si>
    <t>17/08/2020 8:07:33 pm</t>
  </si>
  <si>
    <t>26/06/2020 10:17:06 pm</t>
  </si>
  <si>
    <t>17/08/2020 7:59:50 pm</t>
  </si>
  <si>
    <t>23/09/2017 5:42:13 pm</t>
  </si>
  <si>
    <t>26/09/2020 8:40:38 am</t>
  </si>
  <si>
    <t>20/09/2020 1:03:34 pm</t>
  </si>
  <si>
    <t>24/09/2020 4:18:46 pm</t>
  </si>
  <si>
    <t>20/12/2019 12:08:26 pm</t>
  </si>
  <si>
    <t>15/04/2021 9:14:19 pm</t>
  </si>
  <si>
    <t>25/11/2022 6:39:03 pm</t>
  </si>
  <si>
    <t>14/07/2022 5:59:34 pm</t>
  </si>
  <si>
    <t>24/01/2023 2:27:22 pm</t>
  </si>
  <si>
    <t>18/01/2023 12:45:23 pm</t>
  </si>
  <si>
    <t>21/01/2023 3:00:12 pm</t>
  </si>
  <si>
    <t>13/03/2023 9:07:13 pm</t>
  </si>
  <si>
    <t>13/05/2019 11:48:48 am</t>
  </si>
  <si>
    <t>27/06/2018 4:49:42 pm</t>
  </si>
  <si>
    <t>22/02/2023 2:55:21 pm</t>
  </si>
  <si>
    <t>15/02/2023 11:40:41 am</t>
  </si>
  <si>
    <t>23/01/2023 10:30:00 pm</t>
  </si>
  <si>
    <t>20/11/2022 9:06:14 pm</t>
  </si>
  <si>
    <t>25/05/2022 1:57:32 pm</t>
  </si>
  <si>
    <t>24/04/2023 4:32:02 pm</t>
  </si>
  <si>
    <t>28/06/2009 5:56:58 pm</t>
  </si>
  <si>
    <t>21/07/2009 9:22:33 pm</t>
  </si>
  <si>
    <t>21/01/2009 5:14:24 pm</t>
  </si>
  <si>
    <t>27/12/2021 4:00:12 pm</t>
  </si>
  <si>
    <t>26/11/2017 5:00:04 pm</t>
  </si>
  <si>
    <t>13/09/2017 2:17:25 pm</t>
  </si>
  <si>
    <t>23/11/2020 10:25:44 am</t>
  </si>
  <si>
    <t>23/11/2020 10:34:00 am</t>
  </si>
  <si>
    <t>23/11/2020 11:14:37 am</t>
  </si>
  <si>
    <t>23/11/2020 1:40:37 pm</t>
  </si>
  <si>
    <t>14/03/2022 3:50:20 am</t>
  </si>
  <si>
    <t>23/04/2023 11:52:22 am</t>
  </si>
  <si>
    <t>24/01/2023 6:29:35 pm</t>
  </si>
  <si>
    <t>13/01/2018 10:04:45 pm</t>
  </si>
  <si>
    <t>13/03/2018 10:26:43 pm</t>
  </si>
  <si>
    <t>24/04/2023 5:39:48 pm</t>
  </si>
  <si>
    <t>19/08/2018 8:34:18 am</t>
  </si>
  <si>
    <t>27/12/2021 6:02:24 pm</t>
  </si>
  <si>
    <t>25/07/2022 11:13:04 pm</t>
  </si>
  <si>
    <t>18/03/2023 1:09:52 pm</t>
  </si>
  <si>
    <t>29/01/2018 10:01:15 pm</t>
  </si>
  <si>
    <t>29/03/2018 10:58:16 pm</t>
  </si>
  <si>
    <t xml:space="preserve"> http://www.youtube.com/results?search_query=%23KKKilleryVsChump</t>
  </si>
  <si>
    <t xml:space="preserve"> https://youtu.be/rD7GpfZNJ0s https://youtu.be/rD7GpfZNJ0s</t>
  </si>
  <si>
    <t xml:space="preserve"> https://www.youtube.com/watch?v=1bh2dHZIrHI&amp;amp;t=0m22s</t>
  </si>
  <si>
    <t xml:space="preserve"> http://goldenjackass.com/</t>
  </si>
  <si>
    <t xml:space="preserve"> http://www.youtube.com/results?search_query=%23Russiagatefraud</t>
  </si>
  <si>
    <t xml:space="preserve"> https://youtube.com/shorts/xD8lVzwb2AE?feature=share https://youtube.com/shorts/xD8lVzwb2AE?feature=share</t>
  </si>
  <si>
    <t xml:space="preserve"> https://www.youtube.com/watch?v=grXXl_O02g8&amp;amp;t=0m07s</t>
  </si>
  <si>
    <t xml:space="preserve"> https://www.youtube.com/watch?v=lBULLJFAT50&amp;amp;t=3m32s</t>
  </si>
  <si>
    <t xml:space="preserve"> https://www.youtube.com/watch?v=lBULLJFAT50&amp;amp;t=4m20s</t>
  </si>
  <si>
    <t xml:space="preserve"> https://www.youtube.com/watch?v=lBULLJFAT50&amp;amp;t=2m20s</t>
  </si>
  <si>
    <t xml:space="preserve"> http://www.youtube.com/results?search_query=%23NzPoliceComedy</t>
  </si>
  <si>
    <t xml:space="preserve"> https://www.youtube.com/watch?v=f9psILoYmCc&amp;amp;t=1m41s</t>
  </si>
  <si>
    <t xml:space="preserve"> http://www.youtube.com/results?search_query=%23help</t>
  </si>
  <si>
    <t xml:space="preserve"> https://www.youtube.com/watch?v=f9psILoYmCc&amp;amp;t=2m01s</t>
  </si>
  <si>
    <t xml:space="preserve"> https://bit.ly/31MlrvP https://bit.ly/31MlrvP https://bit.ly/3lw5Vfa https://bit.ly/3lw5Vfa https://bit.ly/2DbXV1y https://bit.ly/2DbXV1y</t>
  </si>
  <si>
    <t xml:space="preserve"> http://www.youtube.com/results?search_query=%23MAGA2020</t>
  </si>
  <si>
    <t>youtube.com</t>
  </si>
  <si>
    <t>youtu.be youtu.be</t>
  </si>
  <si>
    <t>goldenjackass.com</t>
  </si>
  <si>
    <t>youtube.com youtube.com</t>
  </si>
  <si>
    <t>bit.ly bit.ly bit.ly bit.ly bit.ly bit.ly</t>
  </si>
  <si>
    <t/>
  </si>
  <si>
    <t>Title</t>
  </si>
  <si>
    <t>Description</t>
  </si>
  <si>
    <t>Custom URL</t>
  </si>
  <si>
    <t>Thumbnail</t>
  </si>
  <si>
    <t>View Count</t>
  </si>
  <si>
    <t>Comment Count</t>
  </si>
  <si>
    <t>Subscriber Count</t>
  </si>
  <si>
    <t>Hidden Subscriber Count</t>
  </si>
  <si>
    <t>Video Count</t>
  </si>
  <si>
    <t>Content Owner</t>
  </si>
  <si>
    <t>Time Linked</t>
  </si>
  <si>
    <t>Custom Menu Item Text</t>
  </si>
  <si>
    <t>Custom Menu Item Action</t>
  </si>
  <si>
    <t>Internet Party</t>
  </si>
  <si>
    <t>The Spinoff</t>
  </si>
  <si>
    <t>Quiet Kiwis</t>
  </si>
  <si>
    <t>Source</t>
  </si>
  <si>
    <t>Planarwalk</t>
  </si>
  <si>
    <t>Empact News</t>
  </si>
  <si>
    <t>Tref A.'s Production</t>
  </si>
  <si>
    <t>Aotearoa Liberation League</t>
  </si>
  <si>
    <t>Jesse Atatai</t>
  </si>
  <si>
    <t>Werly</t>
  </si>
  <si>
    <t>Barnaby Watts</t>
  </si>
  <si>
    <t>Newsroom NZ</t>
  </si>
  <si>
    <t>NZ Media Watch</t>
  </si>
  <si>
    <t>thebryanmadigan</t>
  </si>
  <si>
    <t>gb per</t>
  </si>
  <si>
    <t>The Commodity</t>
  </si>
  <si>
    <t>NZPoliceRecruitment</t>
  </si>
  <si>
    <t>entertement only</t>
  </si>
  <si>
    <t>One Indonesia Papua</t>
  </si>
  <si>
    <t>University of Canterbury</t>
  </si>
  <si>
    <t>tohir2349</t>
  </si>
  <si>
    <t>Talks With Innovators, Creatives &amp; Enterprisers</t>
  </si>
  <si>
    <t>Awhi</t>
  </si>
  <si>
    <t>What The Actual</t>
  </si>
  <si>
    <t>AlterGlobalization</t>
  </si>
  <si>
    <t>Sam Reports</t>
  </si>
  <si>
    <t>Alternative Media Command Please Subscribe</t>
  </si>
  <si>
    <t>Mike Barton</t>
  </si>
  <si>
    <t>James Hunter</t>
  </si>
  <si>
    <t>Famous Reels</t>
  </si>
  <si>
    <t>Between Two Beers Podcast</t>
  </si>
  <si>
    <t>Normal Company</t>
  </si>
  <si>
    <t>Kiwi Pokies _xD83C__xDDF3__xD83C__xDDFF_</t>
  </si>
  <si>
    <t>TheStreetwiseShow</t>
  </si>
  <si>
    <t>Attica Project</t>
  </si>
  <si>
    <t>TULLOCH CLAN</t>
  </si>
  <si>
    <t>Jade Farrar</t>
  </si>
  <si>
    <t>Dunn Street</t>
  </si>
  <si>
    <t>Gregory Fields</t>
  </si>
  <si>
    <t>Official video channel of the Internet Party. Watch what we're about. Authorised by J Booth, 40 Hartford Crescent, Upper Hutt 5018.</t>
  </si>
  <si>
    <t xml:space="preserve">This Channel will feature Garden Uploads &amp; Gaming Livestreams for now on!
I have another Channel that has Gaming Uploads &amp; Gaming Livestreams as well!
https://www.youtube.com/channel/UCozv-w2kwCHYh28KEwVtflg
I also have an Odysee Channel as well
https://odysee.com/@Samuraiエリック:8
Here is my Rumble Channel, it's improving &amp; I'm shocked to be back on.
https://rumble.com/user/SamuraiErikku
I also have a Kick Channel &amp; I'm expanding by branching out to find more video platforms.
https://kick.com/samuraierikku
Will add more video hosting platforms soon &amp; when I find them.
Thank you for understanding &amp; supporting the channel!
Sincerely,
Erik
</t>
  </si>
  <si>
    <t xml:space="preserve">I press toward the mark for the prize of the high calling of God in Christ Jesus. 
Philippians 3:14
Prayer requests: 
rrrobertrussell@gmail.com
</t>
  </si>
  <si>
    <t>Old Dawg, After being screamed at for decades by the Leftists, I have finally found my people. We will defeat Identity Politics Left and Right with calm reason. Be well</t>
  </si>
  <si>
    <t>Hate twitter they violate free speech.</t>
  </si>
  <si>
    <t xml:space="preserve">My name is David Arthur Johnston. I figured out what God looks like, stopped using money (2003) and catalyzed the BC Supreme Court recognizing the right to sleep (traumatizing the corporate landscape municipally, provincially and federally).
Oh and I just made a gpt prompt that is going to make religion redundant and end the capacity to hate. Ladies and gentlemen, StoicAI- https://github.com/templeofninpo/templeofninpo.github.io
</t>
  </si>
  <si>
    <t>Proud White Man.</t>
  </si>
  <si>
    <t>SUBSCRIBE &amp; turn on ALL NOTIFICATIONS to stay informed
FOLLOW US ON SOCIAL MEDIA:
Facebook: https://bit.ly/31MlrvP
Twitter: https://bit.ly/3lw5Vfa
Instagram: https://bit.ly/2DbXV1y
TikTok: https://bit.ly/3aSXyae
LITT: https://bit.ly/3syT1zV
VISIT OUR WEBSITE: https://www.6newsau.com
#6NewsAU</t>
  </si>
  <si>
    <t>Everyday is a better day then the last!</t>
  </si>
  <si>
    <t>Videos from The Spinoff – Aotearoa published daily.
thespinoff.co.nz</t>
  </si>
  <si>
    <t>New Zealand Video Content Producer.</t>
  </si>
  <si>
    <t>Videos by Spencer Hall, New Zealand artist</t>
  </si>
  <si>
    <t>Just for fun a different take on history videos, fun for olds and for kids</t>
  </si>
  <si>
    <t xml:space="preserve">( Living in the Forest with my Squaw) </t>
  </si>
  <si>
    <t>A channel for ‘Everyday Kiwis’</t>
  </si>
  <si>
    <t>Music. Fan made videos of Original songs by both New Zealand and International artists and the odd video of jams at home. enjoy.</t>
  </si>
  <si>
    <t>For space science videos. please consider subscribing my channel.</t>
  </si>
  <si>
    <t>#AlJazeeraEnglish, we focus on people and events that affect people's lives. We bring topics to light that often go under-reported, listening to all sides of the story and giving a 'voice to the voiceless.'
Reaching more than 282 million households in over 140 countries across the globe, our viewers trust #AlJazeeraEnglish to keep them informed, inspired, and entertained.
Our impartial, fact-based reporting wins worldwide praise and respect. It is our unique brand of #journalism that the world has come to rely on.
We are reshaping global media and constantly working to strengthen our reputation as one of the world's most respected #news and #CurrentAffairs channels.</t>
  </si>
  <si>
    <t>Some fancy words&amp;sayings!</t>
  </si>
  <si>
    <t>Wedding DJ Ian Wilson I am an experienced wedding dj working in Auckland New Zealand.</t>
  </si>
  <si>
    <t>Jesus. Respect. Divest.
No name-calling.
You will be deleted. I have never been that type of person.
Cool vibes only.
This channel is about what the Lord put on my heart to tell the people. It's not so much about what the people want to see. I am not here for subscriber count. I am here to give people hope through my unique gift.
People will cycle in and out. And that's what my channel is for...growth. you may see me valuable for a stage and someone else valuable for the next stage.
I have always been an advocate of opening dating options..but I do not believe in online cults. 
God led you to my channel. He has a message for you. 
This channel exists to present the Word of God in a way that is modern, relevant and holds true to the original text.
Telling people about Christ in a public sphere has increasingly become more dangerous by the day...so I take to the internet.</t>
  </si>
  <si>
    <t>We’re going to set this place on FiYH!</t>
  </si>
  <si>
    <t>I upload sound effects and videos from various games.</t>
  </si>
  <si>
    <t>9.7k Subscribers
Hard work never fails _xD83E__xDD7A_
Keep supporting _xD83D__xDC9E_❤
Insta id : https://www.instagram.com/__adam__jack/
_*INTERESTING MESSAGE ME*__xD83D__xDCE9_
http://wa.me/7019579869
With love ❤❤</t>
  </si>
  <si>
    <t>A slightly psychotic, Deep thinker</t>
  </si>
  <si>
    <t xml:space="preserve">Hi </t>
  </si>
  <si>
    <t>Hi, I’m Papa Sutton, I like Minecraft, I stream sometimes or something #PapaSuttonStream</t>
  </si>
  <si>
    <t xml:space="preserve">July 8th 2022 | 500 Subscribers 
On the road to 1000 subs!
</t>
  </si>
  <si>
    <t>Former Controller Player on his way to Become a Kbm Demon</t>
  </si>
  <si>
    <t xml:space="preserve">This is the place where you can get some speech covers done mgtow style and the greatest animal journals on the planet known as earth, plus some other stuff..
But beware, you will have to discover the fact from fiction..
Dont worry, there will not be any flat earth videos on here.
So pick up your favourite drink and put on your homemade tin/alloy composite hat or hood.
Now we watch as the world slowly destroys itself.. Again and again. 
When the lead human players will cover up the truth. 
We Will Never give up hope, the world will fix all of its problems, over and over again.. 
The cycle continues..
Never forget, never forgive. </t>
  </si>
  <si>
    <t>Men's Mental Health &amp; Wellbeing</t>
  </si>
  <si>
    <t>I am Nikki, or more commonly known as Planarwalk or Planar on the Interwebs. Join me as I debunk crazy conspiracy theories in an entertaining way, then cry as you realise that yes, people can actually be that stupid.</t>
  </si>
  <si>
    <t>Check out my chemistry channel: https://www.youtube.com/channel/UCSsfPs-TK2YcdO_VcM7bKtA
Instagram: @IncorporatedMfgCo_Ltd</t>
  </si>
  <si>
    <t>Wait For My Return...</t>
  </si>
  <si>
    <t xml:space="preserve">Tref A.'s Production應該係全港唯一一個會使用攝錄機拍去車片嘅頻道。
初期上傳嘅主要係我（Trevor A.）所整嘅模組嘅demo片，但後期就開始以去車片為中心。
小弟只係小薯，對緊急車輛認識唔算多，請多多指教。
不定期上載，通常係星期三先有片上。
Tref A.'s Production is probably the only channel in Hong Kong that use camcorders for emergency-vehicle-spotting.
This channel was originally made for showcasing my mods but the purpose has been changed.
As of now, since I'm more into emergency-vehicle-spotting than making game mods, I can see myself uploading more and more clips of emergency vehicles responding.
Videos may upload on Wednesday but NOT on a weekly basis.
Video camera: (✅In use;)
-Sony Handycam HDR-PJ710VE (PAL-50p) ✅(Main camcorder)
</t>
  </si>
  <si>
    <t>Up the maroons!
Subscribe if you saw this!
OTHER SOCIALS: Ig,typicaltrivo. TikTok, typicaltrivo.</t>
  </si>
  <si>
    <t>Ouch, my thumb hurts.</t>
  </si>
  <si>
    <t xml:space="preserve">We are a decolonial justice project for Papatūānuku and all her inhabitants.  
We have a staunch focus on justice for non-human animals in Aotearoa but understand the path to liberating our fellow earthlings is the same path that liberates our entire planet.
Follow our socials, particularly Instagram if you'd like updates on our campaigns/work.
If you're from Aotearoa, we recommend you follow our TikTok, as its becoming our primary platform for disseminating info to locals.
Love and appreciation to all those who're supporting us, you keep us going :)
Nā Samah māua ko Chris.
_xD83C__xDF10_ Web: 
http://www.all.org.nz/
_xD83D__xDD7A__xD83C__xDFFD_TikTok
https://www.tiktok.com/@aotearoaliberation
✨ Support us:
https://ko-fi.com/aotearoaliberationleague
_xD83C__xDF08_ Instagram:
https://www.instagram.com/aotearoaliberation/
_xD83D__xDCAC_ facebook:
https://www.facebook.com/aotearoaliberationleague
 _xD83D__xDC13_ Twitter
https://twitter.com/AotearoaLib
</t>
  </si>
  <si>
    <t>Mega Kenneth is saving the meat babies one Jesus at a time. Mega Kenneth has a nice creamy white face.</t>
  </si>
  <si>
    <t>Vlogger, Real Online T.V, Photographer, Father, Husband.
Check out my Website @ http://aerialphotography24.wix.com/asvdrone</t>
  </si>
  <si>
    <t>Welcome.</t>
  </si>
  <si>
    <t xml:space="preserve">I am just a person that enjoys things. 
I like a variety of things
Mostly disorganized.
I have decided to start uploading random videos, whatever takes my fancy. Be it random POV videos where you can imagine you are me, wandering around experiencing what I am on any given day. 
Or a thing I thought was funny and should be uploaded. Either way, I hope  you enjoy the random-ness.
There is no reason for this channel to exist. 
Rude and hateful people will be blocked.  </t>
  </si>
  <si>
    <t>Kia ora! Welcome to Watts In The News Podcast! My name is Barnaby, and this is a political commentary show from a socialist perspective. 
Current affairs, analysis, debates and a lot more will feature on this channel.  
I am here to advocate for the end of capitalism and a better future for humanity.
Hit subscribe and check out some videos!</t>
  </si>
  <si>
    <t>John 14:6 - Jesus saith unto him, I am the way, the truth, and the life: no man cometh unto the Father, but by me.</t>
  </si>
  <si>
    <t>Kayak fishing and everything outdoors</t>
  </si>
  <si>
    <t>Bazorpadoodle</t>
  </si>
  <si>
    <t>Heres Yoda!</t>
  </si>
  <si>
    <t>Hello I exist</t>
  </si>
  <si>
    <t>Newsroom is an independent, New Zealand-based news and current affairs site. We deliver in-depth storytelling for thinking audiences with an interest in the people, progress, and democracy of Aotearoa.  Our team of experienced, award-winning journalists produces quality written and video stories that set the national news agenda and inform intelligent conversations at every level of New Zealand life.</t>
  </si>
  <si>
    <t>Schadenfreude 
Article 1 Section 8 clause 15 and 16
#MarchForOurLives. A GUN IS NOT A FASHION ACCESSORY OR A RIGHT OF PASSAGE, NOR OWNERSHIP OF A GUN A RIGHT. OWNING A GUN IS A PRIVILEGE AWARDED TO THOSE WHO ARE RESPONSIBLE MEMBERS OF SOCIETY.
I  became a YouTube commentator supporting new channels and encouraging content Support MarchForOurLives. Support Ukraine_xD83C__xDDFA__xD83C__xDDE6__xD83C__xDDFA__xD83C__xDDE6__xD83C__xDDFA__xD83C__xDDE6__xD83C__xDDFA__xD83C__xDDE6_</t>
  </si>
  <si>
    <t xml:space="preserve">Hellow welcome to this channel i know you all probably watch other channels but i'm hopping you'll try ours. on this channel we will be doing funny videos between two friends so enjoy.
Hey go check out my Twitter
https://mobile.twitter.com/TJcp2
Go check out my TickTock
https://vm.tiktok.com/ZMeft8bHq/
Go check my tumblr if you want too 
draintaylor234.tumblr.com
</t>
  </si>
  <si>
    <t>I'm Canada's greatest ice hockey player, except I can't skate and instead of playing hockey I make YouTube videos about history and politics.</t>
  </si>
  <si>
    <t>It’s pronounced Joo-elz</t>
  </si>
  <si>
    <t>Please follow us so to help keep NZ Mainstream Media honest.</t>
  </si>
  <si>
    <t>Just some videos that I have filmed and wanted to share</t>
  </si>
  <si>
    <t>I mostly upload unlisted content sorry</t>
  </si>
  <si>
    <t>Just a space for things.</t>
  </si>
  <si>
    <t>The wasps drove me here</t>
  </si>
  <si>
    <t>Hello and welcome to the channel, I make movies for the pleasure of hopefully seeing you enjoy the story and characters I have provided. 
Social media listed below.</t>
  </si>
  <si>
    <t xml:space="preserve">You Will Fined Lifts, Car Wash, Trains And Railway Crossings.
</t>
  </si>
  <si>
    <t>I no longer make videos on this channel anymore 
click here to see my new channel
https://youtu.be/KSs8K-x57EI</t>
  </si>
  <si>
    <t>Various technical videos</t>
  </si>
  <si>
    <t>This channel will be related to Tamborine Mountain, it's rainforests, waterfalls and surrounding areas, Survival, Prepping and Fossicking.  
Political channel starting soon on Rumble @Mountain_Streams.</t>
  </si>
  <si>
    <t xml:space="preserve">Don't Be Mad, Be Madigan
</t>
  </si>
  <si>
    <t>© Lachlan Deans 2019                                                                                                                                                                                                                                                                                                                                                                                                                                                                                          
Hi Guys ALL VIDEOS AND PHOTOS ARE COPYRIGHT TO Lachlan Deans Welcome This Channel Is About Slideshows, Aviation, Trip reports Please Subscribe Like Comment Hit The Bell If You Haven't or already Thanks For The Support Thank You So Much. if you have any questions put them in the Discussion and ill be talking to you there.</t>
  </si>
  <si>
    <t>Just for the LOLs, I watch these videos for the LOLs.</t>
  </si>
  <si>
    <t xml:space="preserve">Just cannot stand the hate being generated across all races at present and the vile lowering of morales from deviants. </t>
  </si>
  <si>
    <t>Welcome to the Official SBPnz YouTube channel.
We produce on demand web based entertainment including cost effective digital video, social media and photography.
Check out our websites in the links below!</t>
  </si>
  <si>
    <t>THE NATO IS THE MOST POWERFUL MILITARY FORCE IN THE HISTORY OF MEN, EVERY FIGHT IS THEIR FIGHT, CAUSE WHAT HAPPENS THERE - MATTERS OVER HERE</t>
  </si>
  <si>
    <t>* Metal Queen *</t>
  </si>
  <si>
    <t>I have a caffeine addiction im depressed and have suicidal thoughts but uhh besides that manga gym and video games are pretty cool I guess</t>
  </si>
  <si>
    <t>Kia Ora and welcome, my channel is based off of emergency responses/scenes that I record from around New Zealand.
Cheers, BOPM
All Video's Copyrighted. Not to be used by anyone</t>
  </si>
  <si>
    <t>Welcome to  my channel!</t>
  </si>
  <si>
    <t xml:space="preserve">Hiya mateys, if you're new around this channel then don't forget to SUBSCRIBE, leave a LIKE and COMMENT down.
This channel is all about having Fun and Lots of Laughs (SNL style), while seeing the Latest, Nicest Techie Stuff like
fabulous RPG games (with cheats and codes), computer setups, multi-monitor surround experience with interactive Philips Hue 'synced to display' Ambilight with Surround Sound, Alexa units, and many more - for the ultimate experience in gaming and entertainment. 
I create lots of funny vlogs / blogs, and oh, I play piano and make music too when I can _xD83E__xDDD0_
Remember it's "ENKI'S FUN TECHNO STUFF" from down under New Zealand...Kiwi as, Sweet as!
</t>
  </si>
  <si>
    <t>fire ems police  videos 
enjoy</t>
  </si>
  <si>
    <t>BE GOOD!</t>
  </si>
  <si>
    <t xml:space="preserve">Capturing FRV all around Melbourne </t>
  </si>
  <si>
    <t xml:space="preserve">For Business Only, please email: thecommodityautos@gmail.com
The Commodity is about sharing cultures around the world. We want to bring everyone together to one place, and learn from each other. 
We will be focusing on traveling to different countries, sharing local cultures to the world, trying all types of traditional foods, and more!
We hope to have you join us in our journey to bring the world together, one culture at a time!
https://discord.gg/pEmpRSxZeX
For EXCLUSIVE CONTENT, become a member of the channel!!!
Send us your love letters and SNACKS ;) and get a shout out on our video!
2500 Summer Lee Drive #147 
Rockwall, TX 75032
</t>
  </si>
  <si>
    <t>Up the Moon _xD83D__xDD25_</t>
  </si>
  <si>
    <t xml:space="preserve">Mature woman who appreciates good music, great comedy and other assorted interesting content. </t>
  </si>
  <si>
    <t>Lover of all things retro, vintage, eclectic _xD83D__xDC96__xD83E__xDD73__xD83E__xDD42_</t>
  </si>
  <si>
    <t>Amateur videographer using an out of date phone to record beautiful Wellington to show to my 2am fam and soon to be famous rapper, writer, producer, vlogger, content creator, my African American adopted nephew who’s an honouree kiwi for real and a genuine man. Twano2am check him out and subscribe then follow him on Insta and be a part of the amazing journey he is on. U won’t be disappointed if u like a real honest, hard working, talented young man. 
My videos are terrible quality and have no editing or anything done to them as I’m to lazy and old to bother, so it’s as raw as it comes. I’m saying gritty _xD83D__xDE02__xD83D__xDE02_. Just kidding I’m just trying to sound hip. Hope u like it fam and remember to share and promote our man’s music. Only as a online fam can we help him reach his goal. And pump those sounds round people so they want to know who’s that awesome rapper.
I apologise now for the sad clips I’ve made but I can only ever improve.  Arohanui Whanau 2am. _xD83D__xDC9C__xD83D__xDCAF__xD83D__xDE4F__xD83C__xDFFD_</t>
  </si>
  <si>
    <t xml:space="preserve">Hello my name is Jean-Claude Schwartz. Please do not dislike all of my videos because it's rude and it hurts my reputation, please understand me.
I'm a 25 year old Autistic employee of Provins a wine Company of Sion
I Love Cultures and Languages around the world and i do not like being attacked or targeted for my video skills.
Just sitting here and Drinking MAGA Tears.
Rules:
1. No Spambots allowed
2. No Nazis Allowed especially Pro-Putin Traitors (especially Trump Supporters)
3. No UTTPS Allowed
4. No unsubscribing me
5. Don’t make bad videos out of me
6. Don’t say the n word
7. Don’t Heart spam me
8. Don’t bash on opinions that I hate and that i like
9. No stealing videos 
10. No lies
11. No disliking my videos
12. No Conspiracy Theories
13. Don't Defame Me
14. No Ukrainophobes
15. No Hypocrites
16. Enjoy!
Those who can make you believe absurdities can make you commit atrocities
- Voltaire
</t>
  </si>
  <si>
    <t>Coming soon</t>
  </si>
  <si>
    <t>I was formally channel "taumarunui05" but due to copyright issues account was taken down.  I Love anything New Zealand and Maori Culture related.  So that will be what my channel is about mainly.</t>
  </si>
  <si>
    <t xml:space="preserve">Vtuber gamer I want to play GTA and Minecraft </t>
  </si>
  <si>
    <t>I'm from Scotland, not much else to know.</t>
  </si>
  <si>
    <t xml:space="preserve">_xD83D__xDCF9_ </t>
  </si>
  <si>
    <t>Short and dumb vids from my phone</t>
  </si>
  <si>
    <t xml:space="preserve">WUT IS UR FAVORITE CHIP FLAVOUR HEHEHE
 </t>
  </si>
  <si>
    <t>^</t>
  </si>
  <si>
    <t>The Vagabond Homestead New Zealand 
#thatruralmumnz</t>
  </si>
  <si>
    <t>nodillydally</t>
  </si>
  <si>
    <t>A bunch of random videos from my truck on New Zealand roads to fishing off my kayak and a few gaming videos.</t>
  </si>
  <si>
    <t xml:space="preserve">Here for a fun time, I jam games for fun learning to create music, So yeah enjoy whatever I decide to upload _xD83D__xDE04_ </t>
  </si>
  <si>
    <t>wannabe gamer &amp; potato head.</t>
  </si>
  <si>
    <t>Hello! Welcome to my channel! I am 10 years old, my name is 'Rawiri' also known as, 'David' :) 
I am from Christchurch, New Zealand,
I made this channel to entertain others,
I'm very smart and kind :) ,
Obviously kid friendly videos!
Have fun everyone! Peace XD
~Rawiri-Vlogs</t>
  </si>
  <si>
    <t>Hacking on Minecraft, Bike Rides and Animations!!!</t>
  </si>
  <si>
    <t>Pigs can fly!</t>
  </si>
  <si>
    <t>god bless you</t>
  </si>
  <si>
    <t>Hi!</t>
  </si>
  <si>
    <t>Welcome to my channel, everything is here in Wellington, Aotearoa New Zealand. the Capital, feel free to share any videos, and comment, also click like and subscribe,  
Wellington, New Zealand.</t>
  </si>
  <si>
    <t>music has a ability to repair brain damage.</t>
  </si>
  <si>
    <t>Feel free to watch my adventures in life.</t>
  </si>
  <si>
    <t>Shotzys, idk what to put here tbh</t>
  </si>
  <si>
    <t>Hey Guys! Blue bloods gaming here! A British gamer who loves the emergency services and his New Zealand heritage! I don't have an upload schedule because I'm new to YouTube, but I'm open to suggestions!</t>
  </si>
  <si>
    <t>PSN Night_Fire299
Steam Night Fire</t>
  </si>
  <si>
    <t>I don't upload much</t>
  </si>
  <si>
    <t xml:space="preserve">On Third Rate content I walk around places usually on my own (tho sometimes with others) and have miniature adventures while talking to myself and having a laugh. 
Luckily I have my phone in hand (usually) to capture the scenes and it also means you’re coming along as well so it’s all good 
The mini adventures mentioned above could be history, mystery, filming locations or just what’s happening on this sphere today (which is the craziest of the lot) all done in the trademark Third Rate style which is a genuine interest in the world also the worlds of our ancestors and a genuine lack of formal training (or any relevant training for that matter) or equipment 
Buckle up. I’ll see you out here (and out there) 
Please feel free to LIKE SUBSCRIBE AND HIT THE NOTIFICATIONS BELL!! 
And please feel free to comment (I read them all) and as I say all opinions are valid unless spam.  
</t>
  </si>
  <si>
    <t>Kia Ora, welcome to the whānau, please consider joining if you like what you see. Catch yous later.</t>
  </si>
  <si>
    <t>subscribe</t>
  </si>
  <si>
    <t>i eat food, go to work and sleep.</t>
  </si>
  <si>
    <t>Nothing is impossible with the our rulez!</t>
  </si>
  <si>
    <t>"It's Not About Distance, It's About Direction"</t>
  </si>
  <si>
    <t>This channel is made for people wanting to watch videos, many of these will be music videos but not all</t>
  </si>
  <si>
    <t>Siyakhuluma_Mzansi: An informative video series which tackles race, gender, sex, inequality, oppression and privilege.
Clicking With uBusi: IsiZulu Pronunciation lessons.
Vlogs: My day to day activities and random videos about my experiences as a black womxn in China.
Tags: Fun tags I find online, mostly with my boyfriend.
Story Times: Where I spill the tea and give you some juicy stories.</t>
  </si>
  <si>
    <t>Welcome to my channel I hope you enjoy the videos</t>
  </si>
  <si>
    <t>Bruh.</t>
  </si>
  <si>
    <t>_xD83D__xDD04__xD83D__xDC4C_♏_xD83C__xDF14__xD83C__xDF16__xD83C__xDF15_</t>
  </si>
  <si>
    <t>I do  "content" :3</t>
  </si>
  <si>
    <t>I don't know how to describe me.</t>
  </si>
  <si>
    <t>Brumafriend, player for Bezrk CS:GO.</t>
  </si>
  <si>
    <t xml:space="preserve">I make CS GO videos and I like skins. Until we meet again!
I cant add my profile banner so this will be on the "To-do list"
</t>
  </si>
  <si>
    <t>YEET</t>
  </si>
  <si>
    <t>Yeah uh idk what to put in here so yeh</t>
  </si>
  <si>
    <t>Just your average internet dweller, nothing special to see here... Move along.....</t>
  </si>
  <si>
    <t>:)</t>
  </si>
  <si>
    <t xml:space="preserve">A channel celebrating all things AI.
Experimental videos. 
Please like and subscribe and help out an independent creator. :)
</t>
  </si>
  <si>
    <t>Welcome to TOKYO NHK. 
We are sharing Japanese Cultural , History, Natural Beaty of Japan and Social Values  as well as Japanese Language.
So watch any Uncommon, Unbelievable, Natural and Latest Videos . 
Please by Subscribing keep us with you. Please write your important comment as you want see us and Like &amp; share  this Channel . 
Every Friday we upload video about Japan and Tuesday uploading Japanese language Course video.
https://youtube.com/c/TOKYONHK</t>
  </si>
  <si>
    <t>Hey, I am Dan. I own a YouTube channel called 'Dan_Enforcement' it used to be Sunk, and before that Dan Shows. I work my way around law enforcement groups and role-plays. I am a police/law enforcement enthusiast. 
Regards,
Dan</t>
  </si>
  <si>
    <t>You Only Live Once!</t>
  </si>
  <si>
    <t>I have $7 in my savings account 
Hah, SIKE!</t>
  </si>
  <si>
    <t>I make videos (almost) every week, so please subscribe:)</t>
  </si>
  <si>
    <t>Whether It's  funny part or just an event, it is all about me and my life.</t>
  </si>
  <si>
    <t>Go follow my insta! My username is amai_kiomi ! UwU</t>
  </si>
  <si>
    <t>Weird</t>
  </si>
  <si>
    <t xml:space="preserve">You tube is the best , I post NZ movies and my Trike </t>
  </si>
  <si>
    <t xml:space="preserve">just entertment </t>
  </si>
  <si>
    <t>We only give accurate information based on researches conducted. We only upload videos based on research and ordinary citizens veiws in which that is their freedom of expression and speech. We have no intention to divert any persons attention by this videos and it's people freedom to support us. Thank you</t>
  </si>
  <si>
    <t>Official messages and videos from the University of Canterbury.
The University of Canterbury (UC) is located in Christchurch, the largest city in New Zealand's South Island. The University offers world-class research, inspirational teaching, a vibrant campus environment and a great student lifestyle with students from around the world.</t>
  </si>
  <si>
    <t>twice | Talks With Innovators, Creatives &amp; Enterprisers making positive dents on society. 
Tightly edited conversational stories, learns and journeys to now published fortnightly (sometimes more often) from New Zealand, since 2015.</t>
  </si>
  <si>
    <t xml:space="preserve">Welcome to the Awhi YouTube channel. We are a government relations firm based in Aotearoa New Zealand with one goal: make engagement simple. We match domestic and overseas organisations with all levels of New Zealand’s political ecosystem.
</t>
  </si>
  <si>
    <t>“I believe that banking institutions are more dangerous to our liberties than standing armies,”  Jefferson wrote. ” If the American people ever allow private banks to control the issue of their currency, first by inflation, then by deflation, the banks and corporations that will grow up around(these banks) will deprive the people of all property until their children wake up homeless on the continent their fathers conquered.”</t>
  </si>
  <si>
    <t xml:space="preserve">Independent Video Journalist and Commentator
Wellington, New Zealand
Currently covering the mandate protests in wellington, at least 1 upload per day.
</t>
  </si>
  <si>
    <t>Media clips that they won't show on Main Stream Media, we catch it here.</t>
  </si>
  <si>
    <t>Once I had a great channel. Then the big glitch happened...everything disappeared. Reinstate it? Nah.  _xD83D__xDE09_
Happy to chat but keep it respectful. _xD83D__xDC4D_
Based in New Zealand right now.</t>
  </si>
  <si>
    <t>Please subscribe my channel and press the Bell icon _xD83D__xDC96_ thank you all ❤_xD83D__xDC99__xD83D__xDC9C__xD83D__xDC9A_</t>
  </si>
  <si>
    <t>Between Two Beers is New Zealand's most popular long-form interview podcast.</t>
  </si>
  <si>
    <t>Producing the cult comedy classics of Pachali Brewster, and the wonderful works of other Wellington weirdos too.</t>
  </si>
  <si>
    <t>Just playing classic slot games.</t>
  </si>
  <si>
    <t>StreetWise is a not for profit journalism collective.
We document activism and special interest subjects that are either ignored or not covered under the mainstream media narrative.
Our focus is human rights, social justice and the amplification of causes that call for greater equality in society. We aim to galvanize the public mind and to move toward a more progressive, altruistic and egalitarian society.</t>
  </si>
  <si>
    <t>ATTICA is a brand new political party for New Zealand. ATTICA is a new political project focused on Real Kiwis building grassroots solutions for New Zealand.
Check the Attica Project out here: https://attica.nz</t>
  </si>
  <si>
    <t>Mark &amp; Milyn Tulloch
Family, Fun, Fights &amp; Fitness</t>
  </si>
  <si>
    <t xml:space="preserve">
Dunn Street -  a campaign agency bringing change by organising from the ground up and building winning campaigns through data-driven community organising and digital mobilisation.
Home of the Socially Democratic Podcast - your favourite weekly centre-left politics and culture podcast hosted by Stephen Donnelly, founder of Dunn Street.
Each week Stephen and guests breakdown the issues shaping Australia and the rest of the world and the social democrats leading them.
Follow on Instagram at @dunn.street, Facebook at @dunnstreetaustralia, Twitter at @Dunn_Street_ or website at dunnstreet.com.au
</t>
  </si>
  <si>
    <t>Kia ora for dropping by.
Please subscribe the channel to get new video updates.</t>
  </si>
  <si>
    <t>@internetpartynz</t>
  </si>
  <si>
    <t>@digchri2</t>
  </si>
  <si>
    <t>@yomamaluvsu1</t>
  </si>
  <si>
    <t>@eriksamuraigarden</t>
  </si>
  <si>
    <t>@bsallergy2484</t>
  </si>
  <si>
    <t>@spacebaby21</t>
  </si>
  <si>
    <t>@paulduffy697</t>
  </si>
  <si>
    <t>@robertguitarrussell</t>
  </si>
  <si>
    <t>@timsmith3921</t>
  </si>
  <si>
    <t>@standinfaithoverfear</t>
  </si>
  <si>
    <t>@grammamouse3999</t>
  </si>
  <si>
    <t>@lilhotepjesusgrift6669</t>
  </si>
  <si>
    <t>@levimartin9717</t>
  </si>
  <si>
    <t>@hatrackman</t>
  </si>
  <si>
    <t>@seapr6</t>
  </si>
  <si>
    <t>@sponkymusiclady</t>
  </si>
  <si>
    <t>@albertocarra6450</t>
  </si>
  <si>
    <t>@sterlingprice5963</t>
  </si>
  <si>
    <t>@katiecat5500</t>
  </si>
  <si>
    <t>@michelepeach</t>
  </si>
  <si>
    <t>@suziegreer7975</t>
  </si>
  <si>
    <t>@ninaborovsky9992</t>
  </si>
  <si>
    <t>@mrjake.campbell</t>
  </si>
  <si>
    <t>@6newsau</t>
  </si>
  <si>
    <t>@starlord6073</t>
  </si>
  <si>
    <t>@interzone2010</t>
  </si>
  <si>
    <t>@perfectstudents8361</t>
  </si>
  <si>
    <t>@charles-sg</t>
  </si>
  <si>
    <t>@bitlikethat</t>
  </si>
  <si>
    <t>@jaysantos6494</t>
  </si>
  <si>
    <t>@fracturedopal</t>
  </si>
  <si>
    <t>@thespinofftv</t>
  </si>
  <si>
    <t>@sliwill</t>
  </si>
  <si>
    <t>@carolgreenie</t>
  </si>
  <si>
    <t>@feisty12</t>
  </si>
  <si>
    <t>@reetlegna9748</t>
  </si>
  <si>
    <t>@samovarandlime</t>
  </si>
  <si>
    <t>@maxdilloncoyle</t>
  </si>
  <si>
    <t>@robertclark7816</t>
  </si>
  <si>
    <t>@steveng1624</t>
  </si>
  <si>
    <t>@annafisher9220</t>
  </si>
  <si>
    <t>@margaretobrien4851</t>
  </si>
  <si>
    <t>@sathearn</t>
  </si>
  <si>
    <t>@jacobm4428</t>
  </si>
  <si>
    <t>@quietkiwis5921</t>
  </si>
  <si>
    <t>@majorphilgraves</t>
  </si>
  <si>
    <t>@ezzanz961</t>
  </si>
  <si>
    <t>@themadmgtow5196</t>
  </si>
  <si>
    <t>@onemoredeadman</t>
  </si>
  <si>
    <t>@dinesh-yb5nr</t>
  </si>
  <si>
    <t>@aljazeeraenglish</t>
  </si>
  <si>
    <t>@yusakuzgun2824</t>
  </si>
  <si>
    <t>@lliamjurdom9505</t>
  </si>
  <si>
    <t>@aleeyahrmuhammad1409</t>
  </si>
  <si>
    <t>@antonjames818</t>
  </si>
  <si>
    <t>@dellboi86</t>
  </si>
  <si>
    <t>@weddingdjbusiness</t>
  </si>
  <si>
    <t>@armanasaintclair8962</t>
  </si>
  <si>
    <t>@blewis5929</t>
  </si>
  <si>
    <t>@aloren-tk7pj</t>
  </si>
  <si>
    <t>@3attr1x</t>
  </si>
  <si>
    <t>@serenitym54l2sam5l5n1</t>
  </si>
  <si>
    <t>@grandpa5508</t>
  </si>
  <si>
    <t>@djcole34</t>
  </si>
  <si>
    <t>@s1nb4d59</t>
  </si>
  <si>
    <t>@wallybords</t>
  </si>
  <si>
    <t>@msfreedom4us</t>
  </si>
  <si>
    <t>@gamearchiver</t>
  </si>
  <si>
    <t>@gaulindidier5995</t>
  </si>
  <si>
    <t>@adamtechyvlogs</t>
  </si>
  <si>
    <t>@abdulhanif1412</t>
  </si>
  <si>
    <t>@kjmax1068</t>
  </si>
  <si>
    <t>@tohurangi3132</t>
  </si>
  <si>
    <t>@extremistindustries</t>
  </si>
  <si>
    <t>@gmdethierry</t>
  </si>
  <si>
    <t>@ufa7429</t>
  </si>
  <si>
    <t>@papasutton4035</t>
  </si>
  <si>
    <t>@source_yt</t>
  </si>
  <si>
    <t>@whimsy7581</t>
  </si>
  <si>
    <t>@michaelgordon7431</t>
  </si>
  <si>
    <t>@suckcesspool_endeavors</t>
  </si>
  <si>
    <t>@shinobiwan</t>
  </si>
  <si>
    <t>@richardteale8203</t>
  </si>
  <si>
    <t>@rambo-lv9hu</t>
  </si>
  <si>
    <t>@wascawywabbit0987</t>
  </si>
  <si>
    <t>@tennis_menace</t>
  </si>
  <si>
    <t>@jimdavis762</t>
  </si>
  <si>
    <t>@peterrhodes5663</t>
  </si>
  <si>
    <t>@tonydagostino6158</t>
  </si>
  <si>
    <t>@planarwalk</t>
  </si>
  <si>
    <t>@spacecomma4678</t>
  </si>
  <si>
    <t>@waynethera2712</t>
  </si>
  <si>
    <t>@empactnews4827</t>
  </si>
  <si>
    <t>@ungracixus</t>
  </si>
  <si>
    <t>@ta-production</t>
  </si>
  <si>
    <t>@darlenewilson9446</t>
  </si>
  <si>
    <t>@wjfuntingworthiii</t>
  </si>
  <si>
    <t>@typicaltrivo</t>
  </si>
  <si>
    <t>@abecoulter8550</t>
  </si>
  <si>
    <t>@sterrf</t>
  </si>
  <si>
    <t>@stationnet</t>
  </si>
  <si>
    <t>@susanbaker4145</t>
  </si>
  <si>
    <t>@sigspearthumb3249</t>
  </si>
  <si>
    <t>@philipharris7594</t>
  </si>
  <si>
    <t>@yannyloyer7177</t>
  </si>
  <si>
    <t>@oliverwilson11</t>
  </si>
  <si>
    <t>@toshadavinci5379</t>
  </si>
  <si>
    <t>@aotearoaliberationleague</t>
  </si>
  <si>
    <t>@martynbuckley1933</t>
  </si>
  <si>
    <t>@saschahunt1614</t>
  </si>
  <si>
    <t>@megakenneth3964</t>
  </si>
  <si>
    <t>@ripotelacarotte9412</t>
  </si>
  <si>
    <t>@stewartvlogs</t>
  </si>
  <si>
    <t>@psalmowen</t>
  </si>
  <si>
    <t>@netherman5582</t>
  </si>
  <si>
    <t>@str8dominican</t>
  </si>
  <si>
    <t>@curtisthomas3598</t>
  </si>
  <si>
    <t>@theoriginalfreak</t>
  </si>
  <si>
    <t>@justastranger9333</t>
  </si>
  <si>
    <t>@jessicastrathdee2528</t>
  </si>
  <si>
    <t>@simon.hughes3009</t>
  </si>
  <si>
    <t>@werly5111</t>
  </si>
  <si>
    <t>@leonardcullarn2476</t>
  </si>
  <si>
    <t>@wairoa4ever</t>
  </si>
  <si>
    <t>@markwairepo2871</t>
  </si>
  <si>
    <t>@lancemillward2462</t>
  </si>
  <si>
    <t>@chrismckellar9350</t>
  </si>
  <si>
    <t>@barnabywatts</t>
  </si>
  <si>
    <t>@ndog37</t>
  </si>
  <si>
    <t>@jaime1818</t>
  </si>
  <si>
    <t>@jamesmassey5186</t>
  </si>
  <si>
    <t>@williammiller6940</t>
  </si>
  <si>
    <t>@piggyslayer1999</t>
  </si>
  <si>
    <t>@yoda56789</t>
  </si>
  <si>
    <t>@zealandians1120</t>
  </si>
  <si>
    <t>@imperators_8700</t>
  </si>
  <si>
    <t>@fugglie</t>
  </si>
  <si>
    <t>@newsroomnz</t>
  </si>
  <si>
    <t>@kiwinewz2042</t>
  </si>
  <si>
    <t>@tedjcp2488</t>
  </si>
  <si>
    <t>@jacobm2104</t>
  </si>
  <si>
    <t>@juelzbrown</t>
  </si>
  <si>
    <t>@ginaparker65</t>
  </si>
  <si>
    <t>@nzmediawatch</t>
  </si>
  <si>
    <t>@suetjflsuetjfl7143</t>
  </si>
  <si>
    <t>@jenny-nz8fb</t>
  </si>
  <si>
    <t>@isaacsweetapple3342</t>
  </si>
  <si>
    <t>@sundaymornineveryday</t>
  </si>
  <si>
    <t>@shmooielowenstein</t>
  </si>
  <si>
    <t>@afp557</t>
  </si>
  <si>
    <t>@hekkoandpublodes</t>
  </si>
  <si>
    <t>@invisty</t>
  </si>
  <si>
    <t>@ashcan007</t>
  </si>
  <si>
    <t>@falkenor</t>
  </si>
  <si>
    <t>@user-nv6xc5zk8f</t>
  </si>
  <si>
    <t>@bluewardog9664</t>
  </si>
  <si>
    <t>@hillssilent</t>
  </si>
  <si>
    <t>@anguskirk918</t>
  </si>
  <si>
    <t>@walterzamalis4846</t>
  </si>
  <si>
    <t>@pjwils</t>
  </si>
  <si>
    <t>@dagos8303</t>
  </si>
  <si>
    <t>@jarradghent4746</t>
  </si>
  <si>
    <t>@garethdouble9035</t>
  </si>
  <si>
    <t>@feasco</t>
  </si>
  <si>
    <t>@sean2549</t>
  </si>
  <si>
    <t>@nicolaholgate7</t>
  </si>
  <si>
    <t>@jadiff</t>
  </si>
  <si>
    <t>@someperson298</t>
  </si>
  <si>
    <t>@thetrainspotterfromgisborn5929</t>
  </si>
  <si>
    <t>@wikhamtheboi6845</t>
  </si>
  <si>
    <t>@fastbike9845</t>
  </si>
  <si>
    <t>@deanwitt7903</t>
  </si>
  <si>
    <t>@mountainstream</t>
  </si>
  <si>
    <t>@thebryanmadigan</t>
  </si>
  <si>
    <t>@stopthegreed</t>
  </si>
  <si>
    <t>@gbper2811</t>
  </si>
  <si>
    <t>@okusitino8702</t>
  </si>
  <si>
    <t>@daddybob6096</t>
  </si>
  <si>
    <t>@sebastianm87</t>
  </si>
  <si>
    <t>@calebthesecondmoviepack4869</t>
  </si>
  <si>
    <t>@tacticalunicorn9126</t>
  </si>
  <si>
    <t>@stefanov92</t>
  </si>
  <si>
    <t>@jordanrader9281</t>
  </si>
  <si>
    <t>@lachlan_deans_</t>
  </si>
  <si>
    <t>@noodlery7034</t>
  </si>
  <si>
    <t>@cb-xh2qn</t>
  </si>
  <si>
    <t>@dukeellington6279</t>
  </si>
  <si>
    <t>@awkwrdprtmskrt</t>
  </si>
  <si>
    <t>@williamwhite3774</t>
  </si>
  <si>
    <t>@jacktattersall9457</t>
  </si>
  <si>
    <t>@postminchoppa</t>
  </si>
  <si>
    <t>@hamishcaird</t>
  </si>
  <si>
    <t>@spieghtsandmates</t>
  </si>
  <si>
    <t>@joebloggs014</t>
  </si>
  <si>
    <t>@plaque222</t>
  </si>
  <si>
    <t>@sbpnz</t>
  </si>
  <si>
    <t>@luisrrr69</t>
  </si>
  <si>
    <t>@ryanjzz20</t>
  </si>
  <si>
    <t>@88abrams88</t>
  </si>
  <si>
    <t>@w1moo</t>
  </si>
  <si>
    <t>@twinzo123</t>
  </si>
  <si>
    <t>@sebastianyang3579</t>
  </si>
  <si>
    <t>@tcfan25</t>
  </si>
  <si>
    <t>@valladaomateus</t>
  </si>
  <si>
    <t>@thomasjingyangguanguan9866</t>
  </si>
  <si>
    <t>@nookiecookies1017</t>
  </si>
  <si>
    <t>@chrisweir3166</t>
  </si>
  <si>
    <t>@trajan2401</t>
  </si>
  <si>
    <t>@storm1995</t>
  </si>
  <si>
    <t>@reelfeedmedia</t>
  </si>
  <si>
    <t>@user-zf9dv8kg7q</t>
  </si>
  <si>
    <t>@bayofplentymedia4643</t>
  </si>
  <si>
    <t>@redhat2023</t>
  </si>
  <si>
    <t>@enkisfuntechnostuff</t>
  </si>
  <si>
    <t>@alexanderloadsmanthefirebu3753</t>
  </si>
  <si>
    <t>@retractedstatement2036</t>
  </si>
  <si>
    <t>@ashtothefireguy5432</t>
  </si>
  <si>
    <t>@denipric</t>
  </si>
  <si>
    <t>@thecommodity</t>
  </si>
  <si>
    <t>@barnowl5774</t>
  </si>
  <si>
    <t>@barrynichols2846</t>
  </si>
  <si>
    <t>@danielwarnock7760</t>
  </si>
  <si>
    <t>@listayngeorge6929</t>
  </si>
  <si>
    <t>@trinacaria</t>
  </si>
  <si>
    <t>@matthewbrown6163</t>
  </si>
  <si>
    <t>@jdatwhiterocks</t>
  </si>
  <si>
    <t>@skidman5111</t>
  </si>
  <si>
    <t>@jeni10</t>
  </si>
  <si>
    <t>@ironside210</t>
  </si>
  <si>
    <t>@darthtubs1925</t>
  </si>
  <si>
    <t>@zephyrus3052</t>
  </si>
  <si>
    <t>@kennethbell6912</t>
  </si>
  <si>
    <t>@sharnaauckerart6410</t>
  </si>
  <si>
    <t>@leandab2608</t>
  </si>
  <si>
    <t>@datwistyman</t>
  </si>
  <si>
    <t>@bellenickna</t>
  </si>
  <si>
    <t>@grahamejohn6847</t>
  </si>
  <si>
    <t>@robparsons1527</t>
  </si>
  <si>
    <t>@sallymay24</t>
  </si>
  <si>
    <t>@juneross3022</t>
  </si>
  <si>
    <t>@matthalpin1981</t>
  </si>
  <si>
    <t>@gravelsanga</t>
  </si>
  <si>
    <t>@ianhopkins754</t>
  </si>
  <si>
    <t>@paul.kristoff</t>
  </si>
  <si>
    <t>@nathr7375</t>
  </si>
  <si>
    <t>@sharenedrennan1602</t>
  </si>
  <si>
    <t>@jeanclaudejunior</t>
  </si>
  <si>
    <t>@glacieractivity</t>
  </si>
  <si>
    <t>@lesliedavis2185</t>
  </si>
  <si>
    <t>@tst4783</t>
  </si>
  <si>
    <t>@haydenjames7019</t>
  </si>
  <si>
    <t>@kingcountrykiwi7429</t>
  </si>
  <si>
    <t>@genix676yt6</t>
  </si>
  <si>
    <t>@itshenry8977</t>
  </si>
  <si>
    <t>@myunosarus9066</t>
  </si>
  <si>
    <t>@osullibr</t>
  </si>
  <si>
    <t>@reesebell8299</t>
  </si>
  <si>
    <t>@andrewshanaghan797</t>
  </si>
  <si>
    <t>@thechiq</t>
  </si>
  <si>
    <t>@alimcintyre3277</t>
  </si>
  <si>
    <t>@sheldofett</t>
  </si>
  <si>
    <t>@beauishere</t>
  </si>
  <si>
    <t>@eileenhildreth8355</t>
  </si>
  <si>
    <t>@paulineseuala4719</t>
  </si>
  <si>
    <t>@wakaroawaata1586</t>
  </si>
  <si>
    <t>@tnkaob</t>
  </si>
  <si>
    <t>@piersdjackson</t>
  </si>
  <si>
    <t>@doldo1181</t>
  </si>
  <si>
    <t>@cheepz69</t>
  </si>
  <si>
    <t>@bodybalanceu2</t>
  </si>
  <si>
    <t>@tufavaitusi727</t>
  </si>
  <si>
    <t>@ieatbricks0656</t>
  </si>
  <si>
    <t>@jakelealiiee386</t>
  </si>
  <si>
    <t>@macladymclean</t>
  </si>
  <si>
    <t>@kyliemills8559</t>
  </si>
  <si>
    <t>@annaleekale2957</t>
  </si>
  <si>
    <t>@cadifan</t>
  </si>
  <si>
    <t>@draybuchanan8931</t>
  </si>
  <si>
    <t>@nzkiwi87</t>
  </si>
  <si>
    <t>@johanmeischke9189</t>
  </si>
  <si>
    <t>@aranabuchanan3520</t>
  </si>
  <si>
    <t>@tipiwhenuatanirau8105</t>
  </si>
  <si>
    <t>@skylagaaia1683</t>
  </si>
  <si>
    <t>@vanessarae4716</t>
  </si>
  <si>
    <t>@hadrianswallnz</t>
  </si>
  <si>
    <t>@eddieedmondson7698</t>
  </si>
  <si>
    <t>@sam-lk6eo</t>
  </si>
  <si>
    <t>@parkiwi4787</t>
  </si>
  <si>
    <t>@philoliver5574</t>
  </si>
  <si>
    <t>@nzfalcon6578</t>
  </si>
  <si>
    <t>@chrisharris1522</t>
  </si>
  <si>
    <t>@greggiles7309</t>
  </si>
  <si>
    <t>@letsgo-reacts</t>
  </si>
  <si>
    <t>@andy-m66</t>
  </si>
  <si>
    <t>@brucegibbins3792</t>
  </si>
  <si>
    <t>@debbiematenga4944</t>
  </si>
  <si>
    <t>@serenmei7296</t>
  </si>
  <si>
    <t>@eileenquilty5035</t>
  </si>
  <si>
    <t>@prismthekiwii</t>
  </si>
  <si>
    <t>@jkings8739</t>
  </si>
  <si>
    <t>@nzpolicerecruitment</t>
  </si>
  <si>
    <t>@lukecampbell5553</t>
  </si>
  <si>
    <t>@akiyahsmyth144</t>
  </si>
  <si>
    <t>@teresayeates8327</t>
  </si>
  <si>
    <t>@emileewatson4845</t>
  </si>
  <si>
    <t>@itzgalaxily</t>
  </si>
  <si>
    <t>@rawirivlogs</t>
  </si>
  <si>
    <t>@wrecklessgamer2831</t>
  </si>
  <si>
    <t>@jas-hn2ee</t>
  </si>
  <si>
    <t>@eviemcinteer5349</t>
  </si>
  <si>
    <t>@famerob</t>
  </si>
  <si>
    <t>@joaquinbello7934</t>
  </si>
  <si>
    <t>@margaretnicholson4561</t>
  </si>
  <si>
    <t>@erikgag</t>
  </si>
  <si>
    <t>@rainofterror445</t>
  </si>
  <si>
    <t>@marctoleafoa5864</t>
  </si>
  <si>
    <t>@giantmetaldog9153</t>
  </si>
  <si>
    <t>@catstew</t>
  </si>
  <si>
    <t>@rammstom2</t>
  </si>
  <si>
    <t>@bayrockwhk</t>
  </si>
  <si>
    <t>@theviewinwellington</t>
  </si>
  <si>
    <t>@edd1e814</t>
  </si>
  <si>
    <t>@deepaksingh-zr5zq</t>
  </si>
  <si>
    <t>@johnlouiseosuyos6704</t>
  </si>
  <si>
    <t>@shotzys</t>
  </si>
  <si>
    <t>@anakinmanu6</t>
  </si>
  <si>
    <t>@bluebloodsgaminguk1074</t>
  </si>
  <si>
    <t>@carolynmcfarland2293</t>
  </si>
  <si>
    <t>@philoshaughnessy906</t>
  </si>
  <si>
    <t>@jason-zw2dg</t>
  </si>
  <si>
    <t>@benjaminfree6203</t>
  </si>
  <si>
    <t>@nightfire299</t>
  </si>
  <si>
    <t>@louisbarningham</t>
  </si>
  <si>
    <t>@freelogen8685</t>
  </si>
  <si>
    <t>@kady5972</t>
  </si>
  <si>
    <t>@thirdratecontent585</t>
  </si>
  <si>
    <t>@slayta1335</t>
  </si>
  <si>
    <t>@christianpelle1056</t>
  </si>
  <si>
    <t>@nickh9158</t>
  </si>
  <si>
    <t>@pabloooooo.</t>
  </si>
  <si>
    <t>@felixkneipp</t>
  </si>
  <si>
    <t>@braindumpanimations8007</t>
  </si>
  <si>
    <t>@jamiepetrie9375</t>
  </si>
  <si>
    <t>@artemeus8922</t>
  </si>
  <si>
    <t>@respectablebogan3276</t>
  </si>
  <si>
    <t>@asexyfirefighterrex4100</t>
  </si>
  <si>
    <t>@caemma</t>
  </si>
  <si>
    <t>@archieyiu7111</t>
  </si>
  <si>
    <t>@theduke7539</t>
  </si>
  <si>
    <t>@chemicalfilms</t>
  </si>
  <si>
    <t>@busimjiyakho</t>
  </si>
  <si>
    <t>@mrawi5055</t>
  </si>
  <si>
    <t>@rorythorns1597</t>
  </si>
  <si>
    <t>@swissyodeler6970</t>
  </si>
  <si>
    <t>@scatterbrain6450</t>
  </si>
  <si>
    <t>@captainawesome-mz6mt</t>
  </si>
  <si>
    <t>@chairmanzhongxina</t>
  </si>
  <si>
    <t>@scarletpeoni9347</t>
  </si>
  <si>
    <t>@liambourke3133</t>
  </si>
  <si>
    <t>@dcjosephine1774</t>
  </si>
  <si>
    <t>@halfmoon9593</t>
  </si>
  <si>
    <t>@cochramthedestroyer8323</t>
  </si>
  <si>
    <t>@dharmendernegi7310</t>
  </si>
  <si>
    <t>@danta5313</t>
  </si>
  <si>
    <t>@normie7429</t>
  </si>
  <si>
    <t>@brumafriend</t>
  </si>
  <si>
    <t>@tamatinitumahai8158</t>
  </si>
  <si>
    <t>@chainsor5779</t>
  </si>
  <si>
    <t>@commandermozzie</t>
  </si>
  <si>
    <t>@skycloud5695</t>
  </si>
  <si>
    <t>@teishaa3133</t>
  </si>
  <si>
    <t>@evilpirategaming</t>
  </si>
  <si>
    <t>@yeetyeetsilverbeet9680</t>
  </si>
  <si>
    <t>@grace-vg5gi</t>
  </si>
  <si>
    <t>@mattwong7191</t>
  </si>
  <si>
    <t>@lewysc</t>
  </si>
  <si>
    <t>@eatongs</t>
  </si>
  <si>
    <t>@stoneartisen4216</t>
  </si>
  <si>
    <t>@kayeshmeya</t>
  </si>
  <si>
    <t>@erenaclarke-boyle7877</t>
  </si>
  <si>
    <t>@tokyonhk</t>
  </si>
  <si>
    <t>@fpsfps3941</t>
  </si>
  <si>
    <t>@roshannaidu5255</t>
  </si>
  <si>
    <t>@iceburncabr</t>
  </si>
  <si>
    <t>@rikkifelise5768</t>
  </si>
  <si>
    <t>@danenforcement</t>
  </si>
  <si>
    <t>@waverleyb2443</t>
  </si>
  <si>
    <t>@kristizhang4473</t>
  </si>
  <si>
    <t>@michaelcredo4863</t>
  </si>
  <si>
    <t>@creampuff6431</t>
  </si>
  <si>
    <t>@miniunnie796</t>
  </si>
  <si>
    <t>@rayhanmollik</t>
  </si>
  <si>
    <t>@shirley6067</t>
  </si>
  <si>
    <t>@anjajurgenssen6976</t>
  </si>
  <si>
    <t>@sarahh1007</t>
  </si>
  <si>
    <t>@stefaniemaria6148</t>
  </si>
  <si>
    <t>@kiwiryker</t>
  </si>
  <si>
    <t>@blinkintervention2110</t>
  </si>
  <si>
    <t>@marcus4670</t>
  </si>
  <si>
    <t>@funkygas</t>
  </si>
  <si>
    <t>@entertementonly2211</t>
  </si>
  <si>
    <t>@oneindonesiapapua1566</t>
  </si>
  <si>
    <t>@universityofcanterbury</t>
  </si>
  <si>
    <t>@tohir-yq3mq</t>
  </si>
  <si>
    <t>@talkswithinnovatorscreativ8528</t>
  </si>
  <si>
    <t>@awhi5242</t>
  </si>
  <si>
    <t>@whattheactualnz</t>
  </si>
  <si>
    <t>@alterglobalization</t>
  </si>
  <si>
    <t>@samreports3774</t>
  </si>
  <si>
    <t>@alternativemediacommandple1393</t>
  </si>
  <si>
    <t>@mikebarton</t>
  </si>
  <si>
    <t>@jhunternz</t>
  </si>
  <si>
    <t>@famousreels9370</t>
  </si>
  <si>
    <t>@betweentwobeerspodcastnz</t>
  </si>
  <si>
    <t>@normalcompany865</t>
  </si>
  <si>
    <t>@kiwipokiesnz</t>
  </si>
  <si>
    <t>@thestreetwiseshow9741</t>
  </si>
  <si>
    <t>@attica_nz</t>
  </si>
  <si>
    <t>@tullochclan4096</t>
  </si>
  <si>
    <t>@jadefarrar</t>
  </si>
  <si>
    <t>@dunnstreet4003</t>
  </si>
  <si>
    <t>@justinztube</t>
  </si>
  <si>
    <t>@gregoryfields3784</t>
  </si>
  <si>
    <t>@superkiwifella</t>
  </si>
  <si>
    <t>31/08/2007 11:18:48 pm</t>
  </si>
  <si>
    <t>18/08/2009 11:33:05 pm</t>
  </si>
  <si>
    <t>14/02/2014 6:14:10 am</t>
  </si>
  <si>
    <t>23/07/2011 2:52:09 pm</t>
  </si>
  <si>
    <t>31/12/2014 2:47:13 pm</t>
  </si>
  <si>
    <t>25/09/2010 8:06:14 am</t>
  </si>
  <si>
    <t>30/07/2012 4:49:47 am</t>
  </si>
  <si>
    <t>23/10/2014 1:53:27 pm</t>
  </si>
  <si>
    <t>14/09/2006 8:42:58 pm</t>
  </si>
  <si>
    <t>27/08/2008 8:00:12 pm</t>
  </si>
  <si>
    <t>14/10/2012 2:37:50 am</t>
  </si>
  <si>
    <t>19/09/2016 7:00:06 am</t>
  </si>
  <si>
    <t>15/01/2017 1:08:36 pm</t>
  </si>
  <si>
    <t>28/12/2016 12:19:56 pm</t>
  </si>
  <si>
    <t>20/03/2019 9:13:53 pm</t>
  </si>
  <si>
    <t>21/07/2017 10:43:25 pm</t>
  </si>
  <si>
    <t>23/01/2012 2:49:22 pm</t>
  </si>
  <si>
    <t>30/08/2013 9:30:56 pm</t>
  </si>
  <si>
    <t>29/09/2006 9:31:46 pm</t>
  </si>
  <si>
    <t>17/10/2012 7:34:14 am</t>
  </si>
  <si>
    <t>17/12/2007 2:37:20 am</t>
  </si>
  <si>
    <t>16/02/2017 7:33:08 am</t>
  </si>
  <si>
    <t>13/06/2017 1:39:08 pm</t>
  </si>
  <si>
    <t>14/02/2014 3:52:01 pm</t>
  </si>
  <si>
    <t>21/02/2017 1:32:27 am</t>
  </si>
  <si>
    <t>28/03/2018 6:02:02 am</t>
  </si>
  <si>
    <t>22/05/2014 4:27:07 pm</t>
  </si>
  <si>
    <t>20/05/2010 9:56:48 pm</t>
  </si>
  <si>
    <t>21/03/2020 6:46:24 am</t>
  </si>
  <si>
    <t>24/11/2006 3:12:43 am</t>
  </si>
  <si>
    <t>15/08/2019 7:15:54 pm</t>
  </si>
  <si>
    <t>27/08/2018 3:07:00 pm</t>
  </si>
  <si>
    <t>29/06/2011 9:50:19 pm</t>
  </si>
  <si>
    <t>18/06/2020 9:15:52 am</t>
  </si>
  <si>
    <t>31/08/2014 7:21:26 pm</t>
  </si>
  <si>
    <t>22/11/2007 10:10:36 am</t>
  </si>
  <si>
    <t>28/09/2011 2:48:36 am</t>
  </si>
  <si>
    <t>14/07/2015 8:48:27 am</t>
  </si>
  <si>
    <t>30/09/2010 11:46:10 am</t>
  </si>
  <si>
    <t>30/09/2018 8:37:28 pm</t>
  </si>
  <si>
    <t>14/09/2007 10:05:03 am</t>
  </si>
  <si>
    <t>27/11/2010 4:10:20 pm</t>
  </si>
  <si>
    <t>30/04/2015 6:14:51 pm</t>
  </si>
  <si>
    <t>15/12/2015 8:01:40 am</t>
  </si>
  <si>
    <t>29/07/2020 4:20:43 pm</t>
  </si>
  <si>
    <t>14/09/2020 7:36:09 pm</t>
  </si>
  <si>
    <t>21/08/2014 6:56:35 pm</t>
  </si>
  <si>
    <t>21/06/2012 11:00:51 am</t>
  </si>
  <si>
    <t>23/03/2008 10:52:39 pm</t>
  </si>
  <si>
    <t>14/02/2011 1:20:52 pm</t>
  </si>
  <si>
    <t>15/02/2017 12:21:44 pm</t>
  </si>
  <si>
    <t>26/10/2017 6:52:43 pm</t>
  </si>
  <si>
    <t>15/07/2012 3:25:52 am</t>
  </si>
  <si>
    <t>23/08/2014 6:14:07 pm</t>
  </si>
  <si>
    <t>18/08/2011 6:17:36 pm</t>
  </si>
  <si>
    <t>25/05/2019 8:30:40 am</t>
  </si>
  <si>
    <t>15/05/2016 1:36:13 am</t>
  </si>
  <si>
    <t>21/01/2021 3:32:03 am</t>
  </si>
  <si>
    <t>23/03/2020 3:51:22 am</t>
  </si>
  <si>
    <t>29/11/2021 3:24:27 pm</t>
  </si>
  <si>
    <t>29/06/2018 9:45:21 pm</t>
  </si>
  <si>
    <t>23/01/2016 10:14:31 pm</t>
  </si>
  <si>
    <t>23/09/2011 11:06:05 am</t>
  </si>
  <si>
    <t>15/02/2013 11:26:36 pm</t>
  </si>
  <si>
    <t>14/12/2014 8:39:53 am</t>
  </si>
  <si>
    <t>27/11/2021 10:49:58 am</t>
  </si>
  <si>
    <t>31/01/2021 9:41:22 pm</t>
  </si>
  <si>
    <t>13/01/2018 2:36:52 pm</t>
  </si>
  <si>
    <t>28/10/2014 7:14:32 pm</t>
  </si>
  <si>
    <t>28/01/2015 3:38:45 pm</t>
  </si>
  <si>
    <t>31/12/2015 3:21:19 pm</t>
  </si>
  <si>
    <t>15/02/2020 4:37:57 pm</t>
  </si>
  <si>
    <t>29/11/2011 11:39:50 pm</t>
  </si>
  <si>
    <t>17/04/2018 1:29:03 pm</t>
  </si>
  <si>
    <t>19/09/2020 5:55:07 am</t>
  </si>
  <si>
    <t>17/07/2012 10:19:28 am</t>
  </si>
  <si>
    <t>15/05/2007 1:39:32 pm</t>
  </si>
  <si>
    <t>14/02/2018 1:29:29 pm</t>
  </si>
  <si>
    <t>20/04/2014 8:39:37 am</t>
  </si>
  <si>
    <t>17/03/2022 1:56:27 pm</t>
  </si>
  <si>
    <t>25/03/2023 3:27:36 pm</t>
  </si>
  <si>
    <t>13/04/2023 2:01:08 pm</t>
  </si>
  <si>
    <t>26/09/2021 1:08:18 am</t>
  </si>
  <si>
    <t>25/04/2013 2:14:26 pm</t>
  </si>
  <si>
    <t>21/12/2007 6:13:57 pm</t>
  </si>
  <si>
    <t>13/10/2009 2:35:28 pm</t>
  </si>
  <si>
    <t>15/10/2008 4:53:31 pm</t>
  </si>
  <si>
    <t>30/09/2011 3:15:27 pm</t>
  </si>
  <si>
    <t>17/02/2007 12:43:20 am</t>
  </si>
  <si>
    <t>25/11/2006 9:21:43 pm</t>
  </si>
  <si>
    <t>29/09/2013 8:11:27 pm</t>
  </si>
  <si>
    <t>13/12/2015 11:00:43 am</t>
  </si>
  <si>
    <t>30/05/2006 11:51:57 pm</t>
  </si>
  <si>
    <t>22/07/2014 3:35:41 pm</t>
  </si>
  <si>
    <t>13/12/2016 6:40:02 pm</t>
  </si>
  <si>
    <t>24/04/2017 5:41:42 pm</t>
  </si>
  <si>
    <t>13/10/2019 6:36:22 pm</t>
  </si>
  <si>
    <t>26/09/2013 12:23:35 pm</t>
  </si>
  <si>
    <t>25/12/2016 4:10:25 pm</t>
  </si>
  <si>
    <t>15/10/2012 8:47:30 pm</t>
  </si>
  <si>
    <t>13/02/2021 2:59:09 pm</t>
  </si>
  <si>
    <t>20/09/2010 10:59:06 pm</t>
  </si>
  <si>
    <t>25/08/2008 8:04:19 am</t>
  </si>
  <si>
    <t>27/10/2013 8:10:10 am</t>
  </si>
  <si>
    <t>19/04/2015 7:46:53 pm</t>
  </si>
  <si>
    <t>27/01/2014 6:35:12 pm</t>
  </si>
  <si>
    <t>20/01/2017 12:46:22 pm</t>
  </si>
  <si>
    <t>29/05/2014 3:28:10 am</t>
  </si>
  <si>
    <t>17/10/2013 1:38:14 pm</t>
  </si>
  <si>
    <t>18/02/2011 8:42:03 am</t>
  </si>
  <si>
    <t>24/09/2022 1:24:24 am</t>
  </si>
  <si>
    <t>20/03/2012 5:16:34 pm</t>
  </si>
  <si>
    <t>23/02/2008 2:00:27 am</t>
  </si>
  <si>
    <t>15/12/2007 7:05:59 am</t>
  </si>
  <si>
    <t>24/08/2009 10:36:18 pm</t>
  </si>
  <si>
    <t>17/11/2008 7:38:41 pm</t>
  </si>
  <si>
    <t>19/02/2009 7:25:09 pm</t>
  </si>
  <si>
    <t>13/10/2010 8:45:27 am</t>
  </si>
  <si>
    <t>24/07/2017 3:14:21 am</t>
  </si>
  <si>
    <t>27/12/2014 12:48:25 pm</t>
  </si>
  <si>
    <t>18/12/2014 9:01:16 pm</t>
  </si>
  <si>
    <t>18/05/2019 11:32:56 am</t>
  </si>
  <si>
    <t>22/02/2013 4:54:15 pm</t>
  </si>
  <si>
    <t>17/09/2012 12:12:29 am</t>
  </si>
  <si>
    <t>25/05/2014 3:43:55 pm</t>
  </si>
  <si>
    <t>28/08/2009 9:25:27 pm</t>
  </si>
  <si>
    <t>17/09/2013 2:06:28 pm</t>
  </si>
  <si>
    <t>24/06/2006 6:34:18 am</t>
  </si>
  <si>
    <t>22/10/2014 11:11:02 pm</t>
  </si>
  <si>
    <t>30/06/2020 6:21:07 pm</t>
  </si>
  <si>
    <t>20/04/2020 1:57:29 am</t>
  </si>
  <si>
    <t>29/03/2008 1:14:28 pm</t>
  </si>
  <si>
    <t>29/05/2014 3:00:08 pm</t>
  </si>
  <si>
    <t>18/08/2013 9:12:47 am</t>
  </si>
  <si>
    <t>18/06/2008 11:20:02 pm</t>
  </si>
  <si>
    <t>18/01/2021 3:26:27 am</t>
  </si>
  <si>
    <t>20/07/2013 9:54:14 am</t>
  </si>
  <si>
    <t>24/09/2008 10:16:16 pm</t>
  </si>
  <si>
    <t>29/04/2020 10:14:13 pm</t>
  </si>
  <si>
    <t>24/04/2017 1:45:20 pm</t>
  </si>
  <si>
    <t>17/04/2020 1:44:05 am</t>
  </si>
  <si>
    <t>26/02/2016 3:17:40 pm</t>
  </si>
  <si>
    <t>24/03/2008 7:31:44 am</t>
  </si>
  <si>
    <t>23/02/2007 12:22:27 am</t>
  </si>
  <si>
    <t>15/07/2013 12:02:28 am</t>
  </si>
  <si>
    <t>13/07/2014 12:44:13 am</t>
  </si>
  <si>
    <t>25/05/2017 4:42:25 pm</t>
  </si>
  <si>
    <t>22/03/2016 7:35:49 pm</t>
  </si>
  <si>
    <t>19/01/2022 4:42:41 pm</t>
  </si>
  <si>
    <t>20/08/2020 4:42:41 am</t>
  </si>
  <si>
    <t>18/10/2018 12:38:46 pm</t>
  </si>
  <si>
    <t>21/02/2010 7:01:54 pm</t>
  </si>
  <si>
    <t>17/11/2013 7:52:16 pm</t>
  </si>
  <si>
    <t>14/10/2014 10:21:59 pm</t>
  </si>
  <si>
    <t>18/09/2010 1:16:23 am</t>
  </si>
  <si>
    <t>26/10/2012 8:45:27 pm</t>
  </si>
  <si>
    <t>26/03/2022 10:11:28 pm</t>
  </si>
  <si>
    <t>17/10/2013 11:06:27 pm</t>
  </si>
  <si>
    <t>29/03/2021 8:46:25 am</t>
  </si>
  <si>
    <t>25/09/2017 9:17:38 pm</t>
  </si>
  <si>
    <t>27/04/2012 1:35:37 pm</t>
  </si>
  <si>
    <t>24/02/2007 10:33:27 pm</t>
  </si>
  <si>
    <t>25/07/2022 9:17:55 pm</t>
  </si>
  <si>
    <t>20/08/2021 8:42:21 am</t>
  </si>
  <si>
    <t>20/04/2017 4:37:39 pm</t>
  </si>
  <si>
    <t>20/12/2021 5:59:11 pm</t>
  </si>
  <si>
    <t>26/01/2022 1:51:06 am</t>
  </si>
  <si>
    <t>18/08/2015 11:54:04 pm</t>
  </si>
  <si>
    <t>23/09/2019 10:29:22 am</t>
  </si>
  <si>
    <t>17/12/2007 9:43:49 pm</t>
  </si>
  <si>
    <t>26/06/2012 3:39:14 pm</t>
  </si>
  <si>
    <t>29/10/2011 9:08:00 pm</t>
  </si>
  <si>
    <t>19/11/2010 12:17:07 pm</t>
  </si>
  <si>
    <t>30/04/2017 10:49:00 pm</t>
  </si>
  <si>
    <t>25/04/2015 7:17:44 pm</t>
  </si>
  <si>
    <t>17/04/2014 4:45:19 am</t>
  </si>
  <si>
    <t>29/10/2011 4:46:09 pm</t>
  </si>
  <si>
    <t>13/10/2013 4:21:11 pm</t>
  </si>
  <si>
    <t>16/10/2014 4:44:17 pm</t>
  </si>
  <si>
    <t>18/07/2010 4:35:06 pm</t>
  </si>
  <si>
    <t>23/07/2016 6:11:27 am</t>
  </si>
  <si>
    <t>26/10/2016 4:44:49 am</t>
  </si>
  <si>
    <t>21/06/2015 12:37:30 am</t>
  </si>
  <si>
    <t>30/03/2014 9:48:25 am</t>
  </si>
  <si>
    <t>28/01/2014 10:14:06 am</t>
  </si>
  <si>
    <t>26/07/2015 11:53:27 am</t>
  </si>
  <si>
    <t>16/04/2014 3:44:09 am</t>
  </si>
  <si>
    <t>20/02/2016 9:13:42 pm</t>
  </si>
  <si>
    <t>14/05/2014 7:19:34 am</t>
  </si>
  <si>
    <t>23/08/2017 8:01:23 pm</t>
  </si>
  <si>
    <t>28/02/2014 1:38:11 pm</t>
  </si>
  <si>
    <t>29/01/2018 6:01:05 pm</t>
  </si>
  <si>
    <t>28/10/2013 7:37:31 am</t>
  </si>
  <si>
    <t>28/12/2016 9:28:29 am</t>
  </si>
  <si>
    <t>17/05/2017 6:08:26 pm</t>
  </si>
  <si>
    <t>25/09/2013 7:04:39 pm</t>
  </si>
  <si>
    <t>17/10/2017 6:20:44 pm</t>
  </si>
  <si>
    <t>24/08/2016 2:10:38 am</t>
  </si>
  <si>
    <t>22/10/2017 6:23:22 am</t>
  </si>
  <si>
    <t>31/05/2016 10:20:16 am</t>
  </si>
  <si>
    <t>20/05/2014 11:10:50 pm</t>
  </si>
  <si>
    <t>19/01/2014 6:01:54 am</t>
  </si>
  <si>
    <t>31/03/2018 6:23:52 pm</t>
  </si>
  <si>
    <t>16/09/2014 4:06:02 pm</t>
  </si>
  <si>
    <t>21/04/2015 8:11:13 pm</t>
  </si>
  <si>
    <t>28/02/2015 10:24:21 am</t>
  </si>
  <si>
    <t>20/01/2015 6:36:26 am</t>
  </si>
  <si>
    <t>24/11/2016 5:11:23 pm</t>
  </si>
  <si>
    <t>21/01/2016 4:44:19 pm</t>
  </si>
  <si>
    <t>20/09/2015 7:34:27 pm</t>
  </si>
  <si>
    <t>29/12/2016 5:57:10 pm</t>
  </si>
  <si>
    <t>18/09/2013 3:44:41 pm</t>
  </si>
  <si>
    <t>14/12/2013 11:16:09 pm</t>
  </si>
  <si>
    <t>17/05/2017 2:54:34 am</t>
  </si>
  <si>
    <t>28/12/2013 5:17:19 am</t>
  </si>
  <si>
    <t>25/08/2018 6:45:56 pm</t>
  </si>
  <si>
    <t>21/04/2016 12:06:20 pm</t>
  </si>
  <si>
    <t>23/04/2013 1:24:54 pm</t>
  </si>
  <si>
    <t>18/11/2017 1:10:58 pm</t>
  </si>
  <si>
    <t>27/05/2014 4:50:57 pm</t>
  </si>
  <si>
    <t>13/04/2017 6:52:35 pm</t>
  </si>
  <si>
    <t>17/06/2016 11:40:50 pm</t>
  </si>
  <si>
    <t>25/12/2015 9:10:36 am</t>
  </si>
  <si>
    <t>17/09/2017 8:17:11 am</t>
  </si>
  <si>
    <t>13/09/2015 9:45:07 am</t>
  </si>
  <si>
    <t>26/01/2022 10:29:28 pm</t>
  </si>
  <si>
    <t>21/12/2019 12:36:35 pm</t>
  </si>
  <si>
    <t>31/08/2018 4:22:08 pm</t>
  </si>
  <si>
    <t>17/01/2023 11:22:38 am</t>
  </si>
  <si>
    <t>16/02/2022 11:16:05 am</t>
  </si>
  <si>
    <t>13/02/2020 4:27:58 pm</t>
  </si>
  <si>
    <t>28/01/2021 12:31:14 am</t>
  </si>
  <si>
    <t>31/10/2011 2:24:11 pm</t>
  </si>
  <si>
    <t>19/09/2019 3:54:45 pm</t>
  </si>
  <si>
    <t>18/02/2015 8:39:11 am</t>
  </si>
  <si>
    <t>23/01/2018 12:53:14 pm</t>
  </si>
  <si>
    <t>31/08/2021 3:07:28 pm</t>
  </si>
  <si>
    <t>19/08/2009 7:50:57 pm</t>
  </si>
  <si>
    <t>Open Channel URL in Browser</t>
  </si>
  <si>
    <t>Directed</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</si>
  <si>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</si>
  <si>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</si>
  <si>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</si>
  <si>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</si>
  <si>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</si>
  <si>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</si>
  <si>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</si>
  <si>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</si>
  <si>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</si>
  <si>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</si>
  <si>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</si>
  <si>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</si>
  <si>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</si>
  <si>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</si>
  <si>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</si>
  <si>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</si>
  <si>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</si>
  <si>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</si>
  <si>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</si>
  <si>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</si>
  <si>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</si>
  <si>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</si>
  <si>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</si>
  <si>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</si>
  <si>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</si>
  <si>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</si>
  <si>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</si>
  <si>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</si>
  <si>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</si>
  <si>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</si>
  <si>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</si>
  <si>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</si>
  <si>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</si>
  <si>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</si>
  <si>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</si>
  <si>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</si>
  <si>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</si>
  <si>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</si>
  <si>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</si>
  <si>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</si>
  <si>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</si>
  <si>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</si>
  <si>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</si>
  <si>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</si>
  <si>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</si>
  <si>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</si>
  <si>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</si>
  <si>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</si>
  <si>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</si>
  <si>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</si>
  <si>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</si>
  <si>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(Add your own word list)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</si>
  <si>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</si>
  <si>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</si>
  <si>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</si>
  <si>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</si>
  <si>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</si>
  <si>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</si>
  <si>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</si>
  <si>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</si>
  <si>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</si>
  <si>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</si>
  <si>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</si>
  <si>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</si>
  <si>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</si>
  <si>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</si>
  <si>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</si>
  <si>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</si>
  <si>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</si>
  <si>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</si>
  <si>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</si>
  <si>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</si>
  <si>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</si>
  <si>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</si>
  <si>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</si>
  <si>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</si>
  <si>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</si>
  <si>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</si>
  <si>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</si>
  <si>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</si>
  <si>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</si>
  <si>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</si>
  <si>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</si>
  <si>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</si>
  <si>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</si>
  <si>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</si>
  <si>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</si>
  <si>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</si>
  <si>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</si>
  <si>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</si>
  <si>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</si>
  <si>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</si>
  <si>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</si>
  <si>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</si>
  <si>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</si>
  <si>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</si>
  <si>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</si>
  <si>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1.0.1.515</t>
  </si>
  <si>
    <t>Key</t>
  </si>
  <si>
    <t>Action Label</t>
  </si>
  <si>
    <t>Action URL</t>
  </si>
  <si>
    <t>Brand Logo</t>
  </si>
  <si>
    <t>Brand URL</t>
  </si>
  <si>
    <t>Hashtag</t>
  </si>
  <si>
    <t>URL</t>
  </si>
  <si>
    <t>Top 10 Vertices, Ranked by Betweenness Centrality</t>
  </si>
  <si>
    <t>Top Words in Tags in Entire Graph</t>
  </si>
  <si>
    <t>Entire Graph Count</t>
  </si>
  <si>
    <t>Top Words in Tags in G1</t>
  </si>
  <si>
    <t>Top Words in Tags in G2</t>
  </si>
  <si>
    <t>G1 Count</t>
  </si>
  <si>
    <t>Top Words in Tags in G3</t>
  </si>
  <si>
    <t>G2 Count</t>
  </si>
  <si>
    <t>Top Words in Tags in G4</t>
  </si>
  <si>
    <t>G3 Count</t>
  </si>
  <si>
    <t>Top Words in Tags in G5</t>
  </si>
  <si>
    <t>G4 Count</t>
  </si>
  <si>
    <t>Top Words in Tags in G6</t>
  </si>
  <si>
    <t>G5 Count</t>
  </si>
  <si>
    <t>Top Words in Tags in G7</t>
  </si>
  <si>
    <t>G6 Count</t>
  </si>
  <si>
    <t>Top Words in Tags in G8</t>
  </si>
  <si>
    <t>G7 Count</t>
  </si>
  <si>
    <t>Top Words in Tags in G9</t>
  </si>
  <si>
    <t>G8 Count</t>
  </si>
  <si>
    <t>Top Words in Tags in G10</t>
  </si>
  <si>
    <t>G9 Count</t>
  </si>
  <si>
    <t>G10 Count</t>
  </si>
  <si>
    <t>Top Words in Tags</t>
  </si>
  <si>
    <t>Top Word Pairs in Tags in Entire Graph</t>
  </si>
  <si>
    <t>Top Word Pairs in Tags in G1</t>
  </si>
  <si>
    <t>Top Word Pairs in Tags in G2</t>
  </si>
  <si>
    <t>Top Word Pairs in Tags in G3</t>
  </si>
  <si>
    <t>Top Word Pairs in Tags in G4</t>
  </si>
  <si>
    <t>Top Word Pairs in Tags in G5</t>
  </si>
  <si>
    <t>Top Word Pairs in Tags in G6</t>
  </si>
  <si>
    <t>Top Word Pairs in Tags in G7</t>
  </si>
  <si>
    <t>Top Word Pairs in Tags in G8</t>
  </si>
  <si>
    <t>Top Word Pairs in Tags in G9</t>
  </si>
  <si>
    <t>Top Word Pairs in Tags in G10</t>
  </si>
  <si>
    <t>Top Word Pairs in Tags</t>
  </si>
  <si>
    <t>Top Words in Tags by Count</t>
  </si>
  <si>
    <t>Top Words in Tags by Salience</t>
  </si>
  <si>
    <t>Top Word Pairs in Tags by Count</t>
  </si>
  <si>
    <t>Top Word Pairs in Tags by Salience</t>
  </si>
  <si>
    <t>Cyan</t>
  </si>
  <si>
    <t>White</t>
  </si>
  <si>
    <t>Lime</t>
  </si>
  <si>
    <t>Fuchsia</t>
  </si>
  <si>
    <t>Edge Weight▓1▓2▓0▓True▓Aqua▓White▓▓Edge Weight▓1▓7▓0▓5▓10▓False▓Edge Weight▓1▓2▓0▓25▓15▓False▓Out-Degree▓1▓2▓0▓True▓Lime▓Fuchsia▓▓In-Degree▓0▓101▓0▓100▓1000▓False▓In-Degree▓0▓8▓0▓50▓100▓False▓▓0▓0▓0▓0▓0▓False▓▓0▓0▓0▓0▓0▓False</t>
  </si>
  <si>
    <t>GraphSource░YouTubeUser▓GraphTerm░nzpol▓ImportDescription░The graph represents the network of YouTube videos whose title, keywords, description, categories, or author's username contain "nzpol".  The network was obtained from YouTube on Friday, 16 June 2023 at 03:54 UTC.
The network was limited to 100 videos.
There is an edge for each user who comented an a video.▓ImportSuggestedTitle░YouTube Users nzpol▓ImportSuggestedFileNameNoExtension░2023-06-16 03-54-34 NodeXL YouTube Users nzpol▓GroupingDescription░The graph's vertices were grouped by cluster using the Clauset-Newman-Moore cluster algorithm.▓LayoutAlgorithm░The graph was laid out using the Grid layout algorithm.▓GraphDirectedness░The graph is directed.</t>
  </si>
  <si>
    <t>YouTubeUser</t>
  </si>
  <si>
    <t>nzpol</t>
  </si>
  <si>
    <t>The graph represents the network of YouTube videos whose title, keywords, description, categories, or author's username contain "nzpol".  The network was obtained from YouTube on Friday, 16 June 2023 at 03:54 UTC.
The network was limited to 100 videos.
There is an edge for each user who comented an a video.</t>
  </si>
  <si>
    <t>The graph was laid out using the Grid layout algorithm.</t>
  </si>
  <si>
    <t>The graph's vertices were grouped by cluster using the Clauset-Newman-Moore cluster algorithm.</t>
  </si>
  <si>
    <t>https://nodexlgraphgallery.org/Pages/Graph.aspx?graphID=292104</t>
  </si>
  <si>
    <t>https://nodexlgraphgallery.org/Images/Image.ashx?graphID=292104&amp;type=f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</si>
</sst>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1">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0" fontId="0" fillId="0" borderId="0" xfId="0" quotePrefix="1"/>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10" fillId="0" borderId="0" xfId="28" applyFill="1" applyBorder="1" applyAlignment="1">
      <alignment/>
    </xf>
    <xf numFmtId="22" fontId="0" fillId="0" borderId="0" xfId="0" applyNumberFormat="1" applyAlignment="1">
      <alignment/>
    </xf>
    <xf numFmtId="22" fontId="0" fillId="0" borderId="0" xfId="0" applyNumberFormat="1" applyFill="1" applyAlignment="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49" fontId="0" fillId="0" borderId="0" xfId="0" applyNumberFormat="1" applyFill="1" applyAlignment="1">
      <alignment/>
    </xf>
    <xf numFmtId="167" fontId="0" fillId="0" borderId="0" xfId="0" applyNumberFormat="1" applyAlignment="1">
      <alignment/>
    </xf>
    <xf numFmtId="0" fontId="0" fillId="4" borderId="1" xfId="24"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52">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51"/>
      <tableStyleElement type="headerRow" dxfId="250"/>
    </tableStyle>
    <tableStyle name="NodeXL Table" pivot="0" count="1">
      <tableStyleElement type="headerRow" dxfId="2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035347"/>
        <c:axId val="15773804"/>
      </c:barChart>
      <c:catAx>
        <c:axId val="3903534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773804"/>
        <c:crosses val="autoZero"/>
        <c:auto val="1"/>
        <c:lblOffset val="100"/>
        <c:noMultiLvlLbl val="0"/>
      </c:catAx>
      <c:valAx>
        <c:axId val="15773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353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746509"/>
        <c:axId val="2609718"/>
      </c:barChart>
      <c:catAx>
        <c:axId val="774650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09718"/>
        <c:crosses val="autoZero"/>
        <c:auto val="1"/>
        <c:lblOffset val="100"/>
        <c:noMultiLvlLbl val="0"/>
      </c:catAx>
      <c:valAx>
        <c:axId val="2609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465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487463"/>
        <c:axId val="10060576"/>
      </c:barChart>
      <c:catAx>
        <c:axId val="234874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060576"/>
        <c:crosses val="autoZero"/>
        <c:auto val="1"/>
        <c:lblOffset val="100"/>
        <c:noMultiLvlLbl val="0"/>
      </c:catAx>
      <c:valAx>
        <c:axId val="100605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87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3436321"/>
        <c:axId val="9600298"/>
      </c:barChart>
      <c:catAx>
        <c:axId val="2343632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600298"/>
        <c:crosses val="autoZero"/>
        <c:auto val="1"/>
        <c:lblOffset val="100"/>
        <c:noMultiLvlLbl val="0"/>
      </c:catAx>
      <c:valAx>
        <c:axId val="9600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363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293819"/>
        <c:axId val="39426644"/>
      </c:barChart>
      <c:catAx>
        <c:axId val="1929381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426644"/>
        <c:crosses val="autoZero"/>
        <c:auto val="1"/>
        <c:lblOffset val="100"/>
        <c:noMultiLvlLbl val="0"/>
      </c:catAx>
      <c:valAx>
        <c:axId val="394266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938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295477"/>
        <c:axId val="39441566"/>
      </c:barChart>
      <c:catAx>
        <c:axId val="192954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441566"/>
        <c:crosses val="autoZero"/>
        <c:auto val="1"/>
        <c:lblOffset val="100"/>
        <c:noMultiLvlLbl val="0"/>
      </c:catAx>
      <c:valAx>
        <c:axId val="394415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954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429775"/>
        <c:axId val="40650248"/>
      </c:barChart>
      <c:catAx>
        <c:axId val="1942977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650248"/>
        <c:crosses val="autoZero"/>
        <c:auto val="1"/>
        <c:lblOffset val="100"/>
        <c:noMultiLvlLbl val="0"/>
      </c:catAx>
      <c:valAx>
        <c:axId val="406502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297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307913"/>
        <c:axId val="4335762"/>
      </c:barChart>
      <c:catAx>
        <c:axId val="3030791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35762"/>
        <c:crosses val="autoZero"/>
        <c:auto val="1"/>
        <c:lblOffset val="100"/>
        <c:noMultiLvlLbl val="0"/>
      </c:catAx>
      <c:valAx>
        <c:axId val="4335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07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021859"/>
        <c:axId val="15652412"/>
      </c:barChart>
      <c:catAx>
        <c:axId val="39021859"/>
        <c:scaling>
          <c:orientation val="minMax"/>
        </c:scaling>
        <c:axPos val="b"/>
        <c:delete val="1"/>
        <c:majorTickMark val="out"/>
        <c:minorTickMark val="none"/>
        <c:tickLblPos val="none"/>
        <c:crossAx val="15652412"/>
        <c:crosses val="autoZero"/>
        <c:auto val="1"/>
        <c:lblOffset val="100"/>
        <c:noMultiLvlLbl val="0"/>
      </c:catAx>
      <c:valAx>
        <c:axId val="15652412"/>
        <c:scaling>
          <c:orientation val="minMax"/>
        </c:scaling>
        <c:axPos val="l"/>
        <c:delete val="1"/>
        <c:majorTickMark val="out"/>
        <c:minorTickMark val="none"/>
        <c:tickLblPos val="none"/>
        <c:crossAx val="390218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3450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120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6695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3174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79939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6609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59854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089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P501" totalsRowShown="0" headerRowDxfId="248" dataDxfId="212">
  <autoFilter ref="A2:AP501"/>
  <tableColumns count="42">
    <tableColumn id="1" name="Vertex 1" dataDxfId="197"/>
    <tableColumn id="2" name="Vertex 2" dataDxfId="195"/>
    <tableColumn id="3" name="Color" dataDxfId="196"/>
    <tableColumn id="4" name="Width" dataDxfId="221"/>
    <tableColumn id="11" name="Style" dataDxfId="220"/>
    <tableColumn id="5" name="Opacity" dataDxfId="219"/>
    <tableColumn id="6" name="Visibility" dataDxfId="218"/>
    <tableColumn id="10" name="Label" dataDxfId="217"/>
    <tableColumn id="12" name="Label Text Color" dataDxfId="216"/>
    <tableColumn id="13" name="Label Font Size" dataDxfId="215"/>
    <tableColumn id="14" name="Reciprocated?" dataDxfId="131"/>
    <tableColumn id="7" name="ID" dataDxfId="214"/>
    <tableColumn id="9" name="Dynamic Filter" dataDxfId="213"/>
    <tableColumn id="8" name="Add Your Own Columns Here" dataDxfId="194"/>
    <tableColumn id="15" name="Relationship" dataDxfId="193"/>
    <tableColumn id="16" name="Comment Type" dataDxfId="192"/>
    <tableColumn id="17" name="Comment" dataDxfId="191"/>
    <tableColumn id="18" name="Author Channel ID" dataDxfId="190"/>
    <tableColumn id="19" name="Author Display Name" dataDxfId="189"/>
    <tableColumn id="20" name="Author Channel URL" dataDxfId="188"/>
    <tableColumn id="21" name="Parent ID" dataDxfId="187"/>
    <tableColumn id="22" name="Video ID" dataDxfId="186"/>
    <tableColumn id="23" name="Video URL" dataDxfId="185"/>
    <tableColumn id="24" name="Viewer Rating" dataDxfId="184"/>
    <tableColumn id="25" name="Like Count" dataDxfId="183"/>
    <tableColumn id="26" name="Published At" dataDxfId="182"/>
    <tableColumn id="27" name="Updated At" dataDxfId="181"/>
    <tableColumn id="28" name="URLs In Comment" dataDxfId="180"/>
    <tableColumn id="29" name="Domains In Comment" dataDxfId="179"/>
    <tableColumn id="30" name="Hashtags In Comment" dataDxfId="178"/>
    <tableColumn id="31" name="Edge Weight"/>
    <tableColumn id="32" name="Vertex 1 Group" dataDxfId="146">
      <calculatedColumnFormula>REPLACE(INDEX(GroupVertices[Group], MATCH(Edges[[#This Row],[Vertex 1]],GroupVertices[Vertex],0)),1,1,"")</calculatedColumnFormula>
    </tableColumn>
    <tableColumn id="33" name="Vertex 2 Group" dataDxfId="107">
      <calculatedColumnFormula>REPLACE(INDEX(GroupVertices[Group], MATCH(Edges[[#This Row],[Vertex 2]],GroupVertices[Vertex],0)),1,1,"")</calculatedColumnFormula>
    </tableColumn>
    <tableColumn id="34" name="Sentiment List #1: List1 Word Count" dataDxfId="106"/>
    <tableColumn id="35" name="Sentiment List #1: List1 Word Percentage (%)" dataDxfId="105"/>
    <tableColumn id="36" name="Sentiment List #2: List2 Word Count" dataDxfId="104"/>
    <tableColumn id="37" name="Sentiment List #2: List2 Word Percentage (%)" dataDxfId="103"/>
    <tableColumn id="38" name="Sentiment List #3: List3 Word Count" dataDxfId="102"/>
    <tableColumn id="39" name="Sentiment List #3: List3 Word Percentage (%)" dataDxfId="101"/>
    <tableColumn id="40" name="Non-categorized Word Count" dataDxfId="100"/>
    <tableColumn id="41" name="Non-categorized Word Percentage (%)" dataDxfId="99"/>
    <tableColumn id="42" name="Edge Content Word Count" dataDxfId="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2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30" dataDxfId="129">
  <autoFilter ref="A1:G9"/>
  <tableColumns count="7">
    <tableColumn id="1" name="Word" dataDxfId="128"/>
    <tableColumn id="2" name="Count" dataDxfId="127"/>
    <tableColumn id="3" name="Salience" dataDxfId="126"/>
    <tableColumn id="4" name="Group" dataDxfId="125"/>
    <tableColumn id="5" name="Word on Sentiment List #1: List1" dataDxfId="124"/>
    <tableColumn id="6" name="Word on Sentiment List #2: List2" dataDxfId="123"/>
    <tableColumn id="7" name="Word on Sentiment List #3: List3" dataDxfId="1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21" dataDxfId="120">
  <autoFilter ref="A1:L2"/>
  <tableColumns count="12">
    <tableColumn id="1" name="Word 1" dataDxfId="119"/>
    <tableColumn id="2" name="Word 2" dataDxfId="118"/>
    <tableColumn id="3" name="Count" dataDxfId="117"/>
    <tableColumn id="4" name="Salience" dataDxfId="116"/>
    <tableColumn id="5" name="Mutual Information" dataDxfId="115"/>
    <tableColumn id="6" name="Group" dataDxfId="114"/>
    <tableColumn id="7" name="Word1 on Sentiment List #1: List1" dataDxfId="113"/>
    <tableColumn id="8" name="Word1 on Sentiment List #2: List2" dataDxfId="112"/>
    <tableColumn id="9" name="Word1 on Sentiment List #3: List3" dataDxfId="111"/>
    <tableColumn id="10" name="Word2 on Sentiment List #1: List1" dataDxfId="110"/>
    <tableColumn id="11" name="Word2 on Sentiment List #2: List2" dataDxfId="109"/>
    <tableColumn id="12" name="Word2 on Sentiment List #3: List3" dataDxfId="108"/>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25" totalsRowShown="0" headerRowDxfId="79" dataDxfId="78">
  <autoFilter ref="A2:C25"/>
  <tableColumns count="3">
    <tableColumn id="1" name="Group 1" dataDxfId="77"/>
    <tableColumn id="2" name="Group 2" dataDxfId="76"/>
    <tableColumn id="3" name="Edges" dataDxfId="75"/>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72" dataDxfId="71">
  <autoFilter ref="A1:B7"/>
  <tableColumns count="2">
    <tableColumn id="1" name="Key" dataDxfId="57"/>
    <tableColumn id="2" name="Value" dataDxfId="56"/>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61" dataDxfId="60">
  <autoFilter ref="A1:B11"/>
  <tableColumns count="2">
    <tableColumn id="1" name="Top 10 Vertices, Ranked by Betweenness Centrality" dataDxfId="59"/>
    <tableColumn id="2" name="Betweenness Centrality" dataDxfId="58"/>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V2" totalsRowShown="0" headerRowDxfId="55" dataDxfId="54">
  <autoFilter ref="A1:V2"/>
  <tableColumns count="22">
    <tableColumn id="1" name="Top Words in Tags in Entire Graph" dataDxfId="53"/>
    <tableColumn id="2" name="Entire Graph Count" dataDxfId="52"/>
    <tableColumn id="3" name="Top Words in Tags in G1" dataDxfId="51"/>
    <tableColumn id="4" name="G1 Count" dataDxfId="50"/>
    <tableColumn id="5" name="Top Words in Tags in G2" dataDxfId="49"/>
    <tableColumn id="6" name="G2 Count" dataDxfId="48"/>
    <tableColumn id="7" name="Top Words in Tags in G3" dataDxfId="47"/>
    <tableColumn id="8" name="G3 Count" dataDxfId="46"/>
    <tableColumn id="9" name="Top Words in Tags in G4" dataDxfId="45"/>
    <tableColumn id="10" name="G4 Count" dataDxfId="44"/>
    <tableColumn id="11" name="Top Words in Tags in G5" dataDxfId="43"/>
    <tableColumn id="12" name="G5 Count" dataDxfId="42"/>
    <tableColumn id="13" name="Top Words in Tags in G6" dataDxfId="41"/>
    <tableColumn id="14" name="G6 Count" dataDxfId="40"/>
    <tableColumn id="15" name="Top Words in Tags in G7" dataDxfId="39"/>
    <tableColumn id="16" name="G7 Count" dataDxfId="38"/>
    <tableColumn id="17" name="Top Words in Tags in G8" dataDxfId="37"/>
    <tableColumn id="18" name="G8 Count" dataDxfId="36"/>
    <tableColumn id="19" name="Top Words in Tags in G9" dataDxfId="35"/>
    <tableColumn id="20" name="G9 Count" dataDxfId="34"/>
    <tableColumn id="21" name="Top Words in Tags in G10" dataDxfId="33"/>
    <tableColumn id="22" name="G10 Count" dataDxfId="32"/>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4:V5" totalsRowShown="0" headerRowDxfId="30" dataDxfId="29">
  <autoFilter ref="A4:V5"/>
  <tableColumns count="22">
    <tableColumn id="1" name="Top Word Pairs in Tags in Entire Graph" dataDxfId="28"/>
    <tableColumn id="2" name="Entire Graph Count" dataDxfId="27"/>
    <tableColumn id="3" name="Top Word Pairs in Tags in G1" dataDxfId="26"/>
    <tableColumn id="4" name="G1 Count" dataDxfId="25"/>
    <tableColumn id="5" name="Top Word Pairs in Tags in G2" dataDxfId="24"/>
    <tableColumn id="6" name="G2 Count" dataDxfId="23"/>
    <tableColumn id="7" name="Top Word Pairs in Tags in G3" dataDxfId="22"/>
    <tableColumn id="8" name="G3 Count" dataDxfId="21"/>
    <tableColumn id="9" name="Top Word Pairs in Tags in G4" dataDxfId="20"/>
    <tableColumn id="10" name="G4 Count" dataDxfId="19"/>
    <tableColumn id="11" name="Top Word Pairs in Tags in G5" dataDxfId="18"/>
    <tableColumn id="12" name="G5 Count" dataDxfId="17"/>
    <tableColumn id="13" name="Top Word Pairs in Tags in G6" dataDxfId="16"/>
    <tableColumn id="14" name="G6 Count" dataDxfId="15"/>
    <tableColumn id="15" name="Top Word Pairs in Tags in G7" dataDxfId="14"/>
    <tableColumn id="16" name="G7 Count" dataDxfId="13"/>
    <tableColumn id="17" name="Top Word Pairs in Tags in G8" dataDxfId="12"/>
    <tableColumn id="18" name="G8 Count" dataDxfId="11"/>
    <tableColumn id="19" name="Top Word Pairs in Tags in G9" dataDxfId="10"/>
    <tableColumn id="20" name="G9 Count" dataDxfId="9"/>
    <tableColumn id="21" name="Top Word Pairs in Tags in G10" dataDxfId="8"/>
    <tableColumn id="22" name="G10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H426" totalsRowShown="0" headerRowDxfId="247" dataDxfId="198">
  <autoFilter ref="A2:BH426"/>
  <tableColumns count="60">
    <tableColumn id="1" name="Vertex" dataDxfId="211"/>
    <tableColumn id="2" name="Color" dataDxfId="210"/>
    <tableColumn id="5" name="Shape" dataDxfId="209"/>
    <tableColumn id="6" name="Size" dataDxfId="208"/>
    <tableColumn id="4" name="Opacity" dataDxfId="159"/>
    <tableColumn id="7" name="Image File" dataDxfId="157"/>
    <tableColumn id="3" name="Visibility" dataDxfId="158"/>
    <tableColumn id="10" name="Label" dataDxfId="207"/>
    <tableColumn id="16" name="Label Fill Color" dataDxfId="206"/>
    <tableColumn id="9" name="Label Position" dataDxfId="177"/>
    <tableColumn id="8" name="Tooltip" dataDxfId="175"/>
    <tableColumn id="18" name="Layout Order" dataDxfId="176"/>
    <tableColumn id="13" name="X" dataDxfId="205"/>
    <tableColumn id="14" name="Y" dataDxfId="204"/>
    <tableColumn id="12" name="Locked?" dataDxfId="203"/>
    <tableColumn id="19" name="Polar R" dataDxfId="202"/>
    <tableColumn id="20" name="Polar Angle" dataDxfId="201"/>
    <tableColumn id="21" name="Degree" dataDxfId="68"/>
    <tableColumn id="22" name="In-Degree" dataDxfId="67"/>
    <tableColumn id="23" name="Out-Degree" dataDxfId="65"/>
    <tableColumn id="24" name="Betweenness Centrality" dataDxfId="66"/>
    <tableColumn id="25" name="Closeness Centrality" dataDxfId="70"/>
    <tableColumn id="26" name="Eigenvector Centrality" dataDxfId="69"/>
    <tableColumn id="15" name="PageRank" dataDxfId="64"/>
    <tableColumn id="27" name="Clustering Coefficient" dataDxfId="62"/>
    <tableColumn id="29" name="Reciprocated Vertex Pair Ratio" dataDxfId="63"/>
    <tableColumn id="11" name="ID" dataDxfId="200"/>
    <tableColumn id="28" name="Dynamic Filter" dataDxfId="199"/>
    <tableColumn id="17" name="Add Your Own Columns Here" dataDxfId="174"/>
    <tableColumn id="30" name="Title" dataDxfId="173"/>
    <tableColumn id="31" name="Description" dataDxfId="172"/>
    <tableColumn id="32" name="Author Channel ID" dataDxfId="171"/>
    <tableColumn id="33" name="Author Display Name" dataDxfId="170"/>
    <tableColumn id="34" name="Author Channel URL" dataDxfId="169"/>
    <tableColumn id="35" name="Custom URL" dataDxfId="168"/>
    <tableColumn id="36" name="Published At" dataDxfId="167"/>
    <tableColumn id="37" name="Thumbnail" dataDxfId="166"/>
    <tableColumn id="38" name="View Count" dataDxfId="165"/>
    <tableColumn id="39" name="Comment Count" dataDxfId="164"/>
    <tableColumn id="40" name="Subscriber Count" dataDxfId="163"/>
    <tableColumn id="41" name="Hidden Subscriber Count" dataDxfId="162"/>
    <tableColumn id="42" name="Video Count" dataDxfId="161"/>
    <tableColumn id="43" name="Content Owner" dataDxfId="160"/>
    <tableColumn id="44" name="Time Linked" dataDxfId="156"/>
    <tableColumn id="45" name="Custom Menu Item Text" dataDxfId="155"/>
    <tableColumn id="46" name="Custom Menu Item Action" dataDxfId="147"/>
    <tableColumn id="47" name="Vertex Group" dataDxfId="97">
      <calculatedColumnFormula>REPLACE(INDEX(GroupVertices[Group], MATCH(Vertices[[#This Row],[Vertex]],GroupVertices[Vertex],0)),1,1,"")</calculatedColumnFormula>
    </tableColumn>
    <tableColumn id="48" name="Sentiment List #1: List1 Word Count" dataDxfId="96"/>
    <tableColumn id="49" name="Sentiment List #1: List1 Word Percentage (%)" dataDxfId="95"/>
    <tableColumn id="50" name="Sentiment List #2: List2 Word Count" dataDxfId="94"/>
    <tableColumn id="51" name="Sentiment List #2: List2 Word Percentage (%)" dataDxfId="93"/>
    <tableColumn id="52" name="Sentiment List #3: List3 Word Count" dataDxfId="92"/>
    <tableColumn id="53" name="Sentiment List #3: List3 Word Percentage (%)" dataDxfId="91"/>
    <tableColumn id="54" name="Non-categorized Word Count" dataDxfId="90"/>
    <tableColumn id="55" name="Non-categorized Word Percentage (%)" dataDxfId="89"/>
    <tableColumn id="56" name="Vertex Content Word Count" dataDxfId="4"/>
    <tableColumn id="57" name="Top Words in Tags by Count" dataDxfId="3"/>
    <tableColumn id="58" name="Top Words in Tags by Salience" dataDxfId="2"/>
    <tableColumn id="59" name="Top Word Pairs in Tags by Count" dataDxfId="1"/>
    <tableColumn id="60" name="Top Word Pairs in Tags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24" totalsRowShown="0" headerRowDxfId="246">
  <autoFilter ref="A2:AI24"/>
  <tableColumns count="35">
    <tableColumn id="1" name="Group" dataDxfId="154"/>
    <tableColumn id="2" name="Vertex Color" dataDxfId="153"/>
    <tableColumn id="3" name="Vertex Shape" dataDxfId="151"/>
    <tableColumn id="22" name="Visibility" dataDxfId="152"/>
    <tableColumn id="4" name="Collapsed?"/>
    <tableColumn id="18" name="Label" dataDxfId="245"/>
    <tableColumn id="20" name="Collapsed X"/>
    <tableColumn id="21" name="Collapsed Y"/>
    <tableColumn id="6" name="ID" dataDxfId="244"/>
    <tableColumn id="19" name="Collapsed Properties" dataDxfId="145"/>
    <tableColumn id="5" name="Vertices" dataDxfId="144"/>
    <tableColumn id="7" name="Unique Edges" dataDxfId="143"/>
    <tableColumn id="8" name="Edges With Duplicates" dataDxfId="142"/>
    <tableColumn id="9" name="Total Edges" dataDxfId="141"/>
    <tableColumn id="10" name="Self-Loops" dataDxfId="140"/>
    <tableColumn id="24" name="Reciprocated Vertex Pair Ratio" dataDxfId="139"/>
    <tableColumn id="25" name="Reciprocated Edge Ratio" dataDxfId="138"/>
    <tableColumn id="11" name="Connected Components" dataDxfId="137"/>
    <tableColumn id="12" name="Single-Vertex Connected Components" dataDxfId="136"/>
    <tableColumn id="13" name="Maximum Vertices in a Connected Component" dataDxfId="135"/>
    <tableColumn id="14" name="Maximum Edges in a Connected Component" dataDxfId="134"/>
    <tableColumn id="15" name="Maximum Geodesic Distance (Diameter)" dataDxfId="133"/>
    <tableColumn id="16" name="Average Geodesic Distance" dataDxfId="132"/>
    <tableColumn id="17" name="Graph Density" dataDxfId="88"/>
    <tableColumn id="23" name="Sentiment List #1: List1 Word Count" dataDxfId="87"/>
    <tableColumn id="26" name="Sentiment List #1: List1 Word Percentage (%)" dataDxfId="86"/>
    <tableColumn id="27" name="Sentiment List #2: List2 Word Count" dataDxfId="85"/>
    <tableColumn id="28" name="Sentiment List #2: List2 Word Percentage (%)" dataDxfId="84"/>
    <tableColumn id="29" name="Sentiment List #3: List3 Word Count" dataDxfId="83"/>
    <tableColumn id="30" name="Sentiment List #3: List3 Word Percentage (%)" dataDxfId="82"/>
    <tableColumn id="31" name="Non-categorized Word Count" dataDxfId="81"/>
    <tableColumn id="32" name="Non-categorized Word Percentage (%)" dataDxfId="80"/>
    <tableColumn id="33" name="Group Content Word Count" dataDxfId="31"/>
    <tableColumn id="34" name="Top Words in Tags" dataDxfId="6"/>
    <tableColumn id="35" name="Top Word Pairs in Tags"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25" totalsRowShown="0" headerRowDxfId="243" dataDxfId="242">
  <autoFilter ref="A1:C425"/>
  <tableColumns count="3">
    <tableColumn id="1" name="Group" dataDxfId="150"/>
    <tableColumn id="2" name="Vertex" dataDxfId="149"/>
    <tableColumn id="3" name="Vertex ID" dataDxfId="1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74"/>
    <tableColumn id="2" name="Value" dataDxfId="7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41"/>
    <tableColumn id="2" name="Degree Frequency" dataDxfId="240">
      <calculatedColumnFormula>COUNTIF(Vertices[Degree], "&gt;= " &amp; D2) - COUNTIF(Vertices[Degree], "&gt;=" &amp; D3)</calculatedColumnFormula>
    </tableColumn>
    <tableColumn id="3" name="In-Degree Bin" dataDxfId="239"/>
    <tableColumn id="4" name="In-Degree Frequency" dataDxfId="238">
      <calculatedColumnFormula>COUNTIF(Vertices[In-Degree], "&gt;= " &amp; F2) - COUNTIF(Vertices[In-Degree], "&gt;=" &amp; F3)</calculatedColumnFormula>
    </tableColumn>
    <tableColumn id="5" name="Out-Degree Bin" dataDxfId="237"/>
    <tableColumn id="6" name="Out-Degree Frequency" dataDxfId="236">
      <calculatedColumnFormula>COUNTIF(Vertices[Out-Degree], "&gt;= " &amp; H2) - COUNTIF(Vertices[Out-Degree], "&gt;=" &amp; H3)</calculatedColumnFormula>
    </tableColumn>
    <tableColumn id="7" name="Betweenness Centrality Bin" dataDxfId="235"/>
    <tableColumn id="8" name="Betweenness Centrality Frequency" dataDxfId="234">
      <calculatedColumnFormula>COUNTIF(Vertices[Betweenness Centrality], "&gt;= " &amp; J2) - COUNTIF(Vertices[Betweenness Centrality], "&gt;=" &amp; J3)</calculatedColumnFormula>
    </tableColumn>
    <tableColumn id="9" name="Closeness Centrality Bin" dataDxfId="233"/>
    <tableColumn id="10" name="Closeness Centrality Frequency" dataDxfId="232">
      <calculatedColumnFormula>COUNTIF(Vertices[Closeness Centrality], "&gt;= " &amp; L2) - COUNTIF(Vertices[Closeness Centrality], "&gt;=" &amp; L3)</calculatedColumnFormula>
    </tableColumn>
    <tableColumn id="11" name="Eigenvector Centrality Bin" dataDxfId="231"/>
    <tableColumn id="12" name="Eigenvector Centrality Frequency" dataDxfId="230">
      <calculatedColumnFormula>COUNTIF(Vertices[Eigenvector Centrality], "&gt;= " &amp; N2) - COUNTIF(Vertices[Eigenvector Centrality], "&gt;=" &amp; N3)</calculatedColumnFormula>
    </tableColumn>
    <tableColumn id="18" name="PageRank Bin" dataDxfId="229"/>
    <tableColumn id="17" name="PageRank Frequency" dataDxfId="228">
      <calculatedColumnFormula>COUNTIF(Vertices[Eigenvector Centrality], "&gt;= " &amp; P2) - COUNTIF(Vertices[Eigenvector Centrality], "&gt;=" &amp; P3)</calculatedColumnFormula>
    </tableColumn>
    <tableColumn id="13" name="Clustering Coefficient Bin" dataDxfId="227"/>
    <tableColumn id="14" name="Clustering Coefficient Frequency" dataDxfId="226">
      <calculatedColumnFormula>COUNTIF(Vertices[Clustering Coefficient], "&gt;= " &amp; R2) - COUNTIF(Vertices[Clustering Coefficient], "&gt;=" &amp; R3)</calculatedColumnFormula>
    </tableColumn>
    <tableColumn id="15" name="Dynamic Filter Bin" dataDxfId="225"/>
    <tableColumn id="16" name="Dynamic Filter Frequency" dataDxfId="22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2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 Id="rId2" Type="http://schemas.openxmlformats.org/officeDocument/2006/relationships/table" Target="../tables/table17.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501"/>
  <sheetViews>
    <sheetView workbookViewId="0" topLeftCell="A1">
      <pane xSplit="2" ySplit="2" topLeftCell="C3" activePane="bottomRight" state="frozen"/>
      <selection pane="topRight" activeCell="C1" sqref="C1"/>
      <selection pane="bottomLeft" activeCell="A3" sqref="A3"/>
      <selection pane="bottomRight" activeCell="B5" sqref="B5"/>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7" width="11.28125" style="0" bestFit="1" customWidth="1"/>
    <col min="18" max="18" width="12.00390625" style="0" bestFit="1" customWidth="1"/>
    <col min="19" max="19" width="15.00390625" style="0" bestFit="1" customWidth="1"/>
    <col min="20" max="20" width="13.57421875" style="0" bestFit="1" customWidth="1"/>
    <col min="21" max="21" width="10.7109375" style="0" bestFit="1" customWidth="1"/>
    <col min="22" max="22" width="10.140625" style="0" bestFit="1" customWidth="1"/>
    <col min="23" max="23" width="7.8515625" style="0" bestFit="1" customWidth="1"/>
    <col min="25" max="25" width="8.140625" style="0" bestFit="1" customWidth="1"/>
    <col min="26" max="26" width="13.140625" style="0" bestFit="1" customWidth="1"/>
    <col min="27" max="27" width="12.421875" style="0" bestFit="1" customWidth="1"/>
    <col min="28" max="28" width="11.28125" style="0" bestFit="1" customWidth="1"/>
    <col min="29" max="29" width="12.28125" style="0" bestFit="1" customWidth="1"/>
    <col min="30" max="30" width="12.57421875" style="0" bestFit="1" customWidth="1"/>
    <col min="31" max="31" width="14.421875" style="0" customWidth="1"/>
    <col min="32" max="33" width="10.421875" style="0" bestFit="1" customWidth="1"/>
    <col min="34" max="34" width="18.28125" style="0" bestFit="1" customWidth="1"/>
    <col min="35" max="35" width="22.57421875" style="0" bestFit="1" customWidth="1"/>
    <col min="36" max="36" width="18.28125" style="0" bestFit="1" customWidth="1"/>
    <col min="37" max="37" width="22.57421875" style="0" bestFit="1" customWidth="1"/>
    <col min="38" max="38" width="18.28125" style="0" bestFit="1" customWidth="1"/>
    <col min="39" max="39" width="22.57421875" style="0" bestFit="1" customWidth="1"/>
    <col min="40" max="40" width="17.28125" style="0" bestFit="1" customWidth="1"/>
    <col min="41" max="41" width="20.57421875" style="0" bestFit="1" customWidth="1"/>
    <col min="42" max="42" width="14.57421875" style="0" bestFit="1" customWidth="1"/>
  </cols>
  <sheetData>
    <row r="1" spans="3:14" ht="15">
      <c r="C1" s="14" t="s">
        <v>39</v>
      </c>
      <c r="D1" s="15"/>
      <c r="E1" s="15"/>
      <c r="F1" s="15"/>
      <c r="G1" s="14"/>
      <c r="H1" s="12" t="s">
        <v>43</v>
      </c>
      <c r="I1" s="48"/>
      <c r="J1" s="48"/>
      <c r="K1" s="30" t="s">
        <v>42</v>
      </c>
      <c r="L1" s="16" t="s">
        <v>40</v>
      </c>
      <c r="M1" s="16"/>
      <c r="N1" s="13" t="s">
        <v>41</v>
      </c>
    </row>
    <row r="2" spans="1:42"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213</v>
      </c>
      <c r="P2" s="7" t="s">
        <v>214</v>
      </c>
      <c r="Q2" s="7" t="s">
        <v>215</v>
      </c>
      <c r="R2" s="7" t="s">
        <v>216</v>
      </c>
      <c r="S2" s="7" t="s">
        <v>217</v>
      </c>
      <c r="T2" s="7" t="s">
        <v>218</v>
      </c>
      <c r="U2" s="7" t="s">
        <v>219</v>
      </c>
      <c r="V2" s="7" t="s">
        <v>220</v>
      </c>
      <c r="W2" s="7" t="s">
        <v>221</v>
      </c>
      <c r="X2" s="7" t="s">
        <v>222</v>
      </c>
      <c r="Y2" s="7" t="s">
        <v>223</v>
      </c>
      <c r="Z2" s="7" t="s">
        <v>224</v>
      </c>
      <c r="AA2" s="7" t="s">
        <v>225</v>
      </c>
      <c r="AB2" s="7" t="s">
        <v>226</v>
      </c>
      <c r="AC2" s="7" t="s">
        <v>227</v>
      </c>
      <c r="AD2" s="7" t="s">
        <v>228</v>
      </c>
      <c r="AE2" t="s">
        <v>2746</v>
      </c>
      <c r="AF2" s="7" t="s">
        <v>2782</v>
      </c>
      <c r="AG2" s="7" t="s">
        <v>2783</v>
      </c>
      <c r="AH2" s="50" t="s">
        <v>2811</v>
      </c>
      <c r="AI2" s="50" t="s">
        <v>2812</v>
      </c>
      <c r="AJ2" s="50" t="s">
        <v>2813</v>
      </c>
      <c r="AK2" s="50" t="s">
        <v>2814</v>
      </c>
      <c r="AL2" s="50" t="s">
        <v>2815</v>
      </c>
      <c r="AM2" s="50" t="s">
        <v>2816</v>
      </c>
      <c r="AN2" s="50" t="s">
        <v>2817</v>
      </c>
      <c r="AO2" s="50" t="s">
        <v>2818</v>
      </c>
      <c r="AP2" s="50" t="s">
        <v>2819</v>
      </c>
    </row>
    <row r="3" spans="1:42" ht="15" customHeight="1">
      <c r="A3" s="61" t="s">
        <v>652</v>
      </c>
      <c r="B3" s="61" t="s">
        <v>630</v>
      </c>
      <c r="C3" s="62" t="s">
        <v>2891</v>
      </c>
      <c r="D3" s="63">
        <v>5</v>
      </c>
      <c r="E3" s="64"/>
      <c r="F3" s="65">
        <v>25</v>
      </c>
      <c r="G3" s="62"/>
      <c r="H3" s="66"/>
      <c r="I3" s="67"/>
      <c r="J3" s="67"/>
      <c r="K3" s="31" t="s">
        <v>65</v>
      </c>
      <c r="L3" s="68">
        <v>3</v>
      </c>
      <c r="M3" s="68"/>
      <c r="N3" s="69"/>
      <c r="O3" s="83" t="s">
        <v>653</v>
      </c>
      <c r="P3" s="83" t="s">
        <v>215</v>
      </c>
      <c r="Q3" s="87" t="s">
        <v>1066</v>
      </c>
      <c r="R3" s="83" t="s">
        <v>652</v>
      </c>
      <c r="S3" s="83" t="s">
        <v>1451</v>
      </c>
      <c r="T3" s="89" t="str">
        <f>HYPERLINK("http://www.youtube.com/channel/UCdchqwUBbQg9CgDjf5wWuOg")</f>
        <v>http://www.youtube.com/channel/UCdchqwUBbQg9CgDjf5wWuOg</v>
      </c>
      <c r="U3" s="83"/>
      <c r="V3" s="83" t="s">
        <v>1452</v>
      </c>
      <c r="W3" s="89" t="str">
        <f>HYPERLINK("https://www.youtube.com/watch?v=SVs7wMOdOQk")</f>
        <v>https://www.youtube.com/watch?v=SVs7wMOdOQk</v>
      </c>
      <c r="X3" s="83" t="s">
        <v>1537</v>
      </c>
      <c r="Y3" s="83">
        <v>11</v>
      </c>
      <c r="Z3" s="92">
        <v>43048.03565972222</v>
      </c>
      <c r="AA3" s="92">
        <v>43048.07554398148</v>
      </c>
      <c r="AB3" s="83" t="s">
        <v>1868</v>
      </c>
      <c r="AC3" s="83" t="s">
        <v>1869</v>
      </c>
      <c r="AD3" s="87" t="s">
        <v>1874</v>
      </c>
      <c r="AE3" s="86">
        <v>1</v>
      </c>
      <c r="AF3" s="87" t="str">
        <f>REPLACE(INDEX(GroupVertices[Group],MATCH(Edges[[#This Row],[Vertex 1]],GroupVertices[Vertex],0)),1,1,"")</f>
        <v>5</v>
      </c>
      <c r="AG3" s="87" t="str">
        <f>REPLACE(INDEX(GroupVertices[Group],MATCH(Edges[[#This Row],[Vertex 2]],GroupVertices[Vertex],0)),1,1,"")</f>
        <v>5</v>
      </c>
      <c r="AH3" s="105"/>
      <c r="AI3" s="105"/>
      <c r="AJ3" s="105"/>
      <c r="AK3" s="105"/>
      <c r="AL3" s="105"/>
      <c r="AM3" s="105"/>
      <c r="AN3" s="105"/>
      <c r="AO3" s="105"/>
      <c r="AP3" s="105"/>
    </row>
    <row r="4" spans="1:42" ht="15" customHeight="1">
      <c r="A4" s="61" t="s">
        <v>229</v>
      </c>
      <c r="B4" s="61" t="s">
        <v>630</v>
      </c>
      <c r="C4" s="62" t="s">
        <v>2891</v>
      </c>
      <c r="D4" s="63">
        <v>5</v>
      </c>
      <c r="E4" s="62"/>
      <c r="F4" s="65">
        <v>25</v>
      </c>
      <c r="G4" s="62"/>
      <c r="H4" s="66"/>
      <c r="I4" s="67"/>
      <c r="J4" s="67"/>
      <c r="K4" s="31" t="s">
        <v>65</v>
      </c>
      <c r="L4" s="68">
        <v>4</v>
      </c>
      <c r="M4" s="68"/>
      <c r="N4" s="69"/>
      <c r="O4" s="84" t="s">
        <v>653</v>
      </c>
      <c r="P4" s="84" t="s">
        <v>215</v>
      </c>
      <c r="Q4" s="88" t="s">
        <v>655</v>
      </c>
      <c r="R4" s="84" t="s">
        <v>229</v>
      </c>
      <c r="S4" s="84" t="s">
        <v>1067</v>
      </c>
      <c r="T4" s="90" t="str">
        <f>HYPERLINK("http://www.youtube.com/channel/UCMl3afIMrSgo2RkmXlkobrw")</f>
        <v>http://www.youtube.com/channel/UCMl3afIMrSgo2RkmXlkobrw</v>
      </c>
      <c r="U4" s="84"/>
      <c r="V4" s="84" t="s">
        <v>1452</v>
      </c>
      <c r="W4" s="90" t="str">
        <f>HYPERLINK("https://www.youtube.com/watch?v=SVs7wMOdOQk")</f>
        <v>https://www.youtube.com/watch?v=SVs7wMOdOQk</v>
      </c>
      <c r="X4" s="84" t="s">
        <v>1537</v>
      </c>
      <c r="Y4" s="84">
        <v>4</v>
      </c>
      <c r="Z4" s="93">
        <v>43048.07846064815</v>
      </c>
      <c r="AA4" s="93">
        <v>43048.08018518519</v>
      </c>
      <c r="AB4" s="84"/>
      <c r="AC4" s="84"/>
      <c r="AD4" s="88" t="s">
        <v>1874</v>
      </c>
      <c r="AE4" s="86">
        <v>1</v>
      </c>
      <c r="AF4" s="87" t="str">
        <f>REPLACE(INDEX(GroupVertices[Group],MATCH(Edges[[#This Row],[Vertex 1]],GroupVertices[Vertex],0)),1,1,"")</f>
        <v>5</v>
      </c>
      <c r="AG4" s="87" t="str">
        <f>REPLACE(INDEX(GroupVertices[Group],MATCH(Edges[[#This Row],[Vertex 2]],GroupVertices[Vertex],0)),1,1,"")</f>
        <v>5</v>
      </c>
      <c r="AH4" s="105"/>
      <c r="AI4" s="105"/>
      <c r="AJ4" s="105"/>
      <c r="AK4" s="105"/>
      <c r="AL4" s="105"/>
      <c r="AM4" s="105"/>
      <c r="AN4" s="105"/>
      <c r="AO4" s="105"/>
      <c r="AP4" s="105"/>
    </row>
    <row r="5" spans="1:42" ht="15">
      <c r="A5" s="61" t="s">
        <v>230</v>
      </c>
      <c r="B5" s="61" t="s">
        <v>630</v>
      </c>
      <c r="C5" s="62" t="s">
        <v>2891</v>
      </c>
      <c r="D5" s="63">
        <v>5</v>
      </c>
      <c r="E5" s="62"/>
      <c r="F5" s="65">
        <v>25</v>
      </c>
      <c r="G5" s="62"/>
      <c r="H5" s="66"/>
      <c r="I5" s="67"/>
      <c r="J5" s="67"/>
      <c r="K5" s="31" t="s">
        <v>65</v>
      </c>
      <c r="L5" s="68">
        <v>5</v>
      </c>
      <c r="M5" s="68"/>
      <c r="N5" s="69"/>
      <c r="O5" s="84" t="s">
        <v>653</v>
      </c>
      <c r="P5" s="84" t="s">
        <v>215</v>
      </c>
      <c r="Q5" s="88" t="s">
        <v>656</v>
      </c>
      <c r="R5" s="84" t="s">
        <v>230</v>
      </c>
      <c r="S5" s="84" t="s">
        <v>1068</v>
      </c>
      <c r="T5" s="90" t="str">
        <f>HYPERLINK("http://www.youtube.com/channel/UCis8FBpAVwUgCs9fHqtnCog")</f>
        <v>http://www.youtube.com/channel/UCis8FBpAVwUgCs9fHqtnCog</v>
      </c>
      <c r="U5" s="84"/>
      <c r="V5" s="84" t="s">
        <v>1452</v>
      </c>
      <c r="W5" s="90" t="str">
        <f>HYPERLINK("https://www.youtube.com/watch?v=SVs7wMOdOQk")</f>
        <v>https://www.youtube.com/watch?v=SVs7wMOdOQk</v>
      </c>
      <c r="X5" s="84" t="s">
        <v>1537</v>
      </c>
      <c r="Y5" s="84">
        <v>1</v>
      </c>
      <c r="Z5" s="93">
        <v>43048.12173611111</v>
      </c>
      <c r="AA5" s="93">
        <v>43048.12173611111</v>
      </c>
      <c r="AB5" s="84" t="s">
        <v>1853</v>
      </c>
      <c r="AC5" s="84" t="s">
        <v>1869</v>
      </c>
      <c r="AD5" s="88" t="s">
        <v>1874</v>
      </c>
      <c r="AE5" s="86">
        <v>1</v>
      </c>
      <c r="AF5" s="87" t="str">
        <f>REPLACE(INDEX(GroupVertices[Group],MATCH(Edges[[#This Row],[Vertex 1]],GroupVertices[Vertex],0)),1,1,"")</f>
        <v>5</v>
      </c>
      <c r="AG5" s="87" t="str">
        <f>REPLACE(INDEX(GroupVertices[Group],MATCH(Edges[[#This Row],[Vertex 2]],GroupVertices[Vertex],0)),1,1,"")</f>
        <v>5</v>
      </c>
      <c r="AH5" s="105"/>
      <c r="AI5" s="105"/>
      <c r="AJ5" s="105"/>
      <c r="AK5" s="105"/>
      <c r="AL5" s="105"/>
      <c r="AM5" s="105"/>
      <c r="AN5" s="105"/>
      <c r="AO5" s="105"/>
      <c r="AP5" s="105"/>
    </row>
    <row r="6" spans="1:42" ht="15">
      <c r="A6" s="61" t="s">
        <v>231</v>
      </c>
      <c r="B6" s="61" t="s">
        <v>630</v>
      </c>
      <c r="C6" s="62" t="s">
        <v>2891</v>
      </c>
      <c r="D6" s="63">
        <v>5</v>
      </c>
      <c r="E6" s="62"/>
      <c r="F6" s="65">
        <v>25</v>
      </c>
      <c r="G6" s="62"/>
      <c r="H6" s="66"/>
      <c r="I6" s="67"/>
      <c r="J6" s="67"/>
      <c r="K6" s="31" t="s">
        <v>65</v>
      </c>
      <c r="L6" s="68">
        <v>6</v>
      </c>
      <c r="M6" s="68"/>
      <c r="N6" s="69"/>
      <c r="O6" s="84" t="s">
        <v>653</v>
      </c>
      <c r="P6" s="84" t="s">
        <v>215</v>
      </c>
      <c r="Q6" s="88" t="s">
        <v>657</v>
      </c>
      <c r="R6" s="84" t="s">
        <v>231</v>
      </c>
      <c r="S6" s="84" t="s">
        <v>1069</v>
      </c>
      <c r="T6" s="90" t="str">
        <f>HYPERLINK("http://www.youtube.com/channel/UCCXfrpKuxWRh75P8FY_nMVA")</f>
        <v>http://www.youtube.com/channel/UCCXfrpKuxWRh75P8FY_nMVA</v>
      </c>
      <c r="U6" s="84"/>
      <c r="V6" s="84" t="s">
        <v>1452</v>
      </c>
      <c r="W6" s="90" t="str">
        <f>HYPERLINK("https://www.youtube.com/watch?v=SVs7wMOdOQk")</f>
        <v>https://www.youtube.com/watch?v=SVs7wMOdOQk</v>
      </c>
      <c r="X6" s="84" t="s">
        <v>1537</v>
      </c>
      <c r="Y6" s="84">
        <v>6</v>
      </c>
      <c r="Z6" s="93">
        <v>43048.20096064815</v>
      </c>
      <c r="AA6" s="93">
        <v>43048.20096064815</v>
      </c>
      <c r="AB6" s="84"/>
      <c r="AC6" s="84"/>
      <c r="AD6" s="88" t="s">
        <v>1874</v>
      </c>
      <c r="AE6" s="86">
        <v>1</v>
      </c>
      <c r="AF6" s="87" t="str">
        <f>REPLACE(INDEX(GroupVertices[Group],MATCH(Edges[[#This Row],[Vertex 1]],GroupVertices[Vertex],0)),1,1,"")</f>
        <v>5</v>
      </c>
      <c r="AG6" s="87" t="str">
        <f>REPLACE(INDEX(GroupVertices[Group],MATCH(Edges[[#This Row],[Vertex 2]],GroupVertices[Vertex],0)),1,1,"")</f>
        <v>5</v>
      </c>
      <c r="AH6" s="105"/>
      <c r="AI6" s="105"/>
      <c r="AJ6" s="105"/>
      <c r="AK6" s="105"/>
      <c r="AL6" s="105"/>
      <c r="AM6" s="105"/>
      <c r="AN6" s="105"/>
      <c r="AO6" s="105"/>
      <c r="AP6" s="105"/>
    </row>
    <row r="7" spans="1:42" ht="15">
      <c r="A7" s="61" t="s">
        <v>232</v>
      </c>
      <c r="B7" s="61" t="s">
        <v>630</v>
      </c>
      <c r="C7" s="62" t="s">
        <v>2892</v>
      </c>
      <c r="D7" s="63">
        <v>5.833333333333333</v>
      </c>
      <c r="E7" s="62"/>
      <c r="F7" s="65">
        <v>15</v>
      </c>
      <c r="G7" s="62"/>
      <c r="H7" s="66"/>
      <c r="I7" s="67"/>
      <c r="J7" s="67"/>
      <c r="K7" s="31" t="s">
        <v>65</v>
      </c>
      <c r="L7" s="68">
        <v>7</v>
      </c>
      <c r="M7" s="68"/>
      <c r="N7" s="69"/>
      <c r="O7" s="84" t="s">
        <v>653</v>
      </c>
      <c r="P7" s="84" t="s">
        <v>215</v>
      </c>
      <c r="Q7" s="88" t="s">
        <v>658</v>
      </c>
      <c r="R7" s="84" t="s">
        <v>232</v>
      </c>
      <c r="S7" s="84" t="s">
        <v>1070</v>
      </c>
      <c r="T7" s="90" t="str">
        <f>HYPERLINK("http://www.youtube.com/channel/UCPNBoPeYNxOkroPwGxLdfmA")</f>
        <v>http://www.youtube.com/channel/UCPNBoPeYNxOkroPwGxLdfmA</v>
      </c>
      <c r="U7" s="84"/>
      <c r="V7" s="84" t="s">
        <v>1452</v>
      </c>
      <c r="W7" s="90" t="str">
        <f>HYPERLINK("https://www.youtube.com/watch?v=SVs7wMOdOQk")</f>
        <v>https://www.youtube.com/watch?v=SVs7wMOdOQk</v>
      </c>
      <c r="X7" s="84" t="s">
        <v>1537</v>
      </c>
      <c r="Y7" s="84">
        <v>2</v>
      </c>
      <c r="Z7" s="93">
        <v>43048.09625</v>
      </c>
      <c r="AA7" s="93">
        <v>43048.09684027778</v>
      </c>
      <c r="AB7" s="84"/>
      <c r="AC7" s="84"/>
      <c r="AD7" s="88" t="s">
        <v>1874</v>
      </c>
      <c r="AE7" s="86">
        <v>2</v>
      </c>
      <c r="AF7" s="87" t="str">
        <f>REPLACE(INDEX(GroupVertices[Group],MATCH(Edges[[#This Row],[Vertex 1]],GroupVertices[Vertex],0)),1,1,"")</f>
        <v>5</v>
      </c>
      <c r="AG7" s="87" t="str">
        <f>REPLACE(INDEX(GroupVertices[Group],MATCH(Edges[[#This Row],[Vertex 2]],GroupVertices[Vertex],0)),1,1,"")</f>
        <v>5</v>
      </c>
      <c r="AH7" s="105"/>
      <c r="AI7" s="105"/>
      <c r="AJ7" s="105"/>
      <c r="AK7" s="105"/>
      <c r="AL7" s="105"/>
      <c r="AM7" s="105"/>
      <c r="AN7" s="105"/>
      <c r="AO7" s="105"/>
      <c r="AP7" s="105"/>
    </row>
    <row r="8" spans="1:42" ht="15">
      <c r="A8" s="61" t="s">
        <v>232</v>
      </c>
      <c r="B8" s="61" t="s">
        <v>630</v>
      </c>
      <c r="C8" s="62" t="s">
        <v>2892</v>
      </c>
      <c r="D8" s="63">
        <v>5.833333333333333</v>
      </c>
      <c r="E8" s="62"/>
      <c r="F8" s="65">
        <v>15</v>
      </c>
      <c r="G8" s="62"/>
      <c r="H8" s="66"/>
      <c r="I8" s="67"/>
      <c r="J8" s="67"/>
      <c r="K8" s="31" t="s">
        <v>65</v>
      </c>
      <c r="L8" s="68">
        <v>8</v>
      </c>
      <c r="M8" s="68"/>
      <c r="N8" s="69"/>
      <c r="O8" s="84" t="s">
        <v>653</v>
      </c>
      <c r="P8" s="84" t="s">
        <v>215</v>
      </c>
      <c r="Q8" s="88" t="s">
        <v>659</v>
      </c>
      <c r="R8" s="84" t="s">
        <v>232</v>
      </c>
      <c r="S8" s="84" t="s">
        <v>1070</v>
      </c>
      <c r="T8" s="90" t="str">
        <f>HYPERLINK("http://www.youtube.com/channel/UCPNBoPeYNxOkroPwGxLdfmA")</f>
        <v>http://www.youtube.com/channel/UCPNBoPeYNxOkroPwGxLdfmA</v>
      </c>
      <c r="U8" s="84"/>
      <c r="V8" s="84" t="s">
        <v>1452</v>
      </c>
      <c r="W8" s="90" t="str">
        <f>HYPERLINK("https://www.youtube.com/watch?v=SVs7wMOdOQk")</f>
        <v>https://www.youtube.com/watch?v=SVs7wMOdOQk</v>
      </c>
      <c r="X8" s="84" t="s">
        <v>1537</v>
      </c>
      <c r="Y8" s="84">
        <v>1</v>
      </c>
      <c r="Z8" s="93">
        <v>43048.24747685185</v>
      </c>
      <c r="AA8" s="93">
        <v>43048.24747685185</v>
      </c>
      <c r="AB8" s="84" t="s">
        <v>1854</v>
      </c>
      <c r="AC8" s="84" t="s">
        <v>1870</v>
      </c>
      <c r="AD8" s="88" t="s">
        <v>1874</v>
      </c>
      <c r="AE8" s="86">
        <v>2</v>
      </c>
      <c r="AF8" s="87" t="str">
        <f>REPLACE(INDEX(GroupVertices[Group],MATCH(Edges[[#This Row],[Vertex 1]],GroupVertices[Vertex],0)),1,1,"")</f>
        <v>5</v>
      </c>
      <c r="AG8" s="87" t="str">
        <f>REPLACE(INDEX(GroupVertices[Group],MATCH(Edges[[#This Row],[Vertex 2]],GroupVertices[Vertex],0)),1,1,"")</f>
        <v>5</v>
      </c>
      <c r="AH8" s="105"/>
      <c r="AI8" s="105"/>
      <c r="AJ8" s="105"/>
      <c r="AK8" s="105"/>
      <c r="AL8" s="105"/>
      <c r="AM8" s="105"/>
      <c r="AN8" s="105"/>
      <c r="AO8" s="105"/>
      <c r="AP8" s="105"/>
    </row>
    <row r="9" spans="1:42" ht="15">
      <c r="A9" s="61" t="s">
        <v>233</v>
      </c>
      <c r="B9" s="61" t="s">
        <v>630</v>
      </c>
      <c r="C9" s="62" t="s">
        <v>2891</v>
      </c>
      <c r="D9" s="63">
        <v>5</v>
      </c>
      <c r="E9" s="62"/>
      <c r="F9" s="65">
        <v>25</v>
      </c>
      <c r="G9" s="62"/>
      <c r="H9" s="66"/>
      <c r="I9" s="67"/>
      <c r="J9" s="67"/>
      <c r="K9" s="31" t="s">
        <v>65</v>
      </c>
      <c r="L9" s="68">
        <v>9</v>
      </c>
      <c r="M9" s="68"/>
      <c r="N9" s="69"/>
      <c r="O9" s="84" t="s">
        <v>653</v>
      </c>
      <c r="P9" s="84" t="s">
        <v>215</v>
      </c>
      <c r="Q9" s="88" t="s">
        <v>660</v>
      </c>
      <c r="R9" s="84" t="s">
        <v>233</v>
      </c>
      <c r="S9" s="84" t="s">
        <v>1071</v>
      </c>
      <c r="T9" s="90" t="str">
        <f>HYPERLINK("http://www.youtube.com/channel/UCTJ2WEBVYogtzAOA65YMQyw")</f>
        <v>http://www.youtube.com/channel/UCTJ2WEBVYogtzAOA65YMQyw</v>
      </c>
      <c r="U9" s="84"/>
      <c r="V9" s="84" t="s">
        <v>1452</v>
      </c>
      <c r="W9" s="90" t="str">
        <f>HYPERLINK("https://www.youtube.com/watch?v=SVs7wMOdOQk")</f>
        <v>https://www.youtube.com/watch?v=SVs7wMOdOQk</v>
      </c>
      <c r="X9" s="84" t="s">
        <v>1537</v>
      </c>
      <c r="Y9" s="84">
        <v>3</v>
      </c>
      <c r="Z9" s="93">
        <v>43048.2921875</v>
      </c>
      <c r="AA9" s="93">
        <v>43048.638703703706</v>
      </c>
      <c r="AB9" s="84"/>
      <c r="AC9" s="84"/>
      <c r="AD9" s="88" t="s">
        <v>1874</v>
      </c>
      <c r="AE9" s="86">
        <v>1</v>
      </c>
      <c r="AF9" s="87" t="str">
        <f>REPLACE(INDEX(GroupVertices[Group],MATCH(Edges[[#This Row],[Vertex 1]],GroupVertices[Vertex],0)),1,1,"")</f>
        <v>5</v>
      </c>
      <c r="AG9" s="87" t="str">
        <f>REPLACE(INDEX(GroupVertices[Group],MATCH(Edges[[#This Row],[Vertex 2]],GroupVertices[Vertex],0)),1,1,"")</f>
        <v>5</v>
      </c>
      <c r="AH9" s="105"/>
      <c r="AI9" s="105"/>
      <c r="AJ9" s="105"/>
      <c r="AK9" s="105"/>
      <c r="AL9" s="105"/>
      <c r="AM9" s="105"/>
      <c r="AN9" s="105"/>
      <c r="AO9" s="105"/>
      <c r="AP9" s="105"/>
    </row>
    <row r="10" spans="1:42" ht="15">
      <c r="A10" s="61" t="s">
        <v>234</v>
      </c>
      <c r="B10" s="61" t="s">
        <v>630</v>
      </c>
      <c r="C10" s="62" t="s">
        <v>2891</v>
      </c>
      <c r="D10" s="63">
        <v>5</v>
      </c>
      <c r="E10" s="62"/>
      <c r="F10" s="65">
        <v>25</v>
      </c>
      <c r="G10" s="62"/>
      <c r="H10" s="66"/>
      <c r="I10" s="67"/>
      <c r="J10" s="67"/>
      <c r="K10" s="31" t="s">
        <v>65</v>
      </c>
      <c r="L10" s="68">
        <v>10</v>
      </c>
      <c r="M10" s="68"/>
      <c r="N10" s="69"/>
      <c r="O10" s="84" t="s">
        <v>653</v>
      </c>
      <c r="P10" s="84" t="s">
        <v>215</v>
      </c>
      <c r="Q10" s="88" t="s">
        <v>661</v>
      </c>
      <c r="R10" s="84" t="s">
        <v>234</v>
      </c>
      <c r="S10" s="84" t="s">
        <v>1072</v>
      </c>
      <c r="T10" s="90" t="str">
        <f>HYPERLINK("http://www.youtube.com/channel/UCcEsH39QPcJXhnGD2sdbnLA")</f>
        <v>http://www.youtube.com/channel/UCcEsH39QPcJXhnGD2sdbnLA</v>
      </c>
      <c r="U10" s="84"/>
      <c r="V10" s="84" t="s">
        <v>1452</v>
      </c>
      <c r="W10" s="90" t="str">
        <f>HYPERLINK("https://www.youtube.com/watch?v=SVs7wMOdOQk")</f>
        <v>https://www.youtube.com/watch?v=SVs7wMOdOQk</v>
      </c>
      <c r="X10" s="84" t="s">
        <v>1537</v>
      </c>
      <c r="Y10" s="84">
        <v>0</v>
      </c>
      <c r="Z10" s="93">
        <v>43048.3524537037</v>
      </c>
      <c r="AA10" s="93">
        <v>43048.3524537037</v>
      </c>
      <c r="AB10" s="84"/>
      <c r="AC10" s="84"/>
      <c r="AD10" s="88" t="s">
        <v>1874</v>
      </c>
      <c r="AE10" s="86">
        <v>1</v>
      </c>
      <c r="AF10" s="87" t="str">
        <f>REPLACE(INDEX(GroupVertices[Group],MATCH(Edges[[#This Row],[Vertex 1]],GroupVertices[Vertex],0)),1,1,"")</f>
        <v>5</v>
      </c>
      <c r="AG10" s="87" t="str">
        <f>REPLACE(INDEX(GroupVertices[Group],MATCH(Edges[[#This Row],[Vertex 2]],GroupVertices[Vertex],0)),1,1,"")</f>
        <v>5</v>
      </c>
      <c r="AH10" s="105"/>
      <c r="AI10" s="105"/>
      <c r="AJ10" s="105"/>
      <c r="AK10" s="105"/>
      <c r="AL10" s="105"/>
      <c r="AM10" s="105"/>
      <c r="AN10" s="105"/>
      <c r="AO10" s="105"/>
      <c r="AP10" s="105"/>
    </row>
    <row r="11" spans="1:42" ht="15">
      <c r="A11" s="61" t="s">
        <v>235</v>
      </c>
      <c r="B11" s="61" t="s">
        <v>630</v>
      </c>
      <c r="C11" s="62" t="s">
        <v>2891</v>
      </c>
      <c r="D11" s="63">
        <v>5</v>
      </c>
      <c r="E11" s="62"/>
      <c r="F11" s="65">
        <v>25</v>
      </c>
      <c r="G11" s="62"/>
      <c r="H11" s="66"/>
      <c r="I11" s="67"/>
      <c r="J11" s="67"/>
      <c r="K11" s="31" t="s">
        <v>65</v>
      </c>
      <c r="L11" s="68">
        <v>11</v>
      </c>
      <c r="M11" s="68"/>
      <c r="N11" s="69"/>
      <c r="O11" s="84" t="s">
        <v>653</v>
      </c>
      <c r="P11" s="84" t="s">
        <v>215</v>
      </c>
      <c r="Q11" s="88" t="s">
        <v>662</v>
      </c>
      <c r="R11" s="84" t="s">
        <v>235</v>
      </c>
      <c r="S11" s="84" t="s">
        <v>1073</v>
      </c>
      <c r="T11" s="90" t="str">
        <f>HYPERLINK("http://www.youtube.com/channel/UCldD7bTY9nesJhKHYTHJxpQ")</f>
        <v>http://www.youtube.com/channel/UCldD7bTY9nesJhKHYTHJxpQ</v>
      </c>
      <c r="U11" s="84"/>
      <c r="V11" s="84" t="s">
        <v>1452</v>
      </c>
      <c r="W11" s="90" t="str">
        <f>HYPERLINK("https://www.youtube.com/watch?v=SVs7wMOdOQk")</f>
        <v>https://www.youtube.com/watch?v=SVs7wMOdOQk</v>
      </c>
      <c r="X11" s="84" t="s">
        <v>1537</v>
      </c>
      <c r="Y11" s="84">
        <v>0</v>
      </c>
      <c r="Z11" s="93">
        <v>43048.48520833333</v>
      </c>
      <c r="AA11" s="93">
        <v>43048.48520833333</v>
      </c>
      <c r="AB11" s="84"/>
      <c r="AC11" s="84"/>
      <c r="AD11" s="88" t="s">
        <v>1874</v>
      </c>
      <c r="AE11" s="86">
        <v>1</v>
      </c>
      <c r="AF11" s="87" t="str">
        <f>REPLACE(INDEX(GroupVertices[Group],MATCH(Edges[[#This Row],[Vertex 1]],GroupVertices[Vertex],0)),1,1,"")</f>
        <v>5</v>
      </c>
      <c r="AG11" s="87" t="str">
        <f>REPLACE(INDEX(GroupVertices[Group],MATCH(Edges[[#This Row],[Vertex 2]],GroupVertices[Vertex],0)),1,1,"")</f>
        <v>5</v>
      </c>
      <c r="AH11" s="105"/>
      <c r="AI11" s="105"/>
      <c r="AJ11" s="105"/>
      <c r="AK11" s="105"/>
      <c r="AL11" s="105"/>
      <c r="AM11" s="105"/>
      <c r="AN11" s="105"/>
      <c r="AO11" s="105"/>
      <c r="AP11" s="105"/>
    </row>
    <row r="12" spans="1:42" ht="15">
      <c r="A12" s="61" t="s">
        <v>236</v>
      </c>
      <c r="B12" s="61" t="s">
        <v>630</v>
      </c>
      <c r="C12" s="62" t="s">
        <v>2891</v>
      </c>
      <c r="D12" s="63">
        <v>5</v>
      </c>
      <c r="E12" s="62"/>
      <c r="F12" s="65">
        <v>25</v>
      </c>
      <c r="G12" s="62"/>
      <c r="H12" s="66"/>
      <c r="I12" s="67"/>
      <c r="J12" s="67"/>
      <c r="K12" s="31" t="s">
        <v>65</v>
      </c>
      <c r="L12" s="68">
        <v>12</v>
      </c>
      <c r="M12" s="68"/>
      <c r="N12" s="69"/>
      <c r="O12" s="84" t="s">
        <v>653</v>
      </c>
      <c r="P12" s="84" t="s">
        <v>215</v>
      </c>
      <c r="Q12" s="88" t="s">
        <v>663</v>
      </c>
      <c r="R12" s="84" t="s">
        <v>236</v>
      </c>
      <c r="S12" s="84" t="s">
        <v>1074</v>
      </c>
      <c r="T12" s="90" t="str">
        <f>HYPERLINK("http://www.youtube.com/channel/UC7QjSOQ4lGY3IFNTpxWJYqw")</f>
        <v>http://www.youtube.com/channel/UC7QjSOQ4lGY3IFNTpxWJYqw</v>
      </c>
      <c r="U12" s="84"/>
      <c r="V12" s="84" t="s">
        <v>1452</v>
      </c>
      <c r="W12" s="90" t="str">
        <f>HYPERLINK("https://www.youtube.com/watch?v=SVs7wMOdOQk")</f>
        <v>https://www.youtube.com/watch?v=SVs7wMOdOQk</v>
      </c>
      <c r="X12" s="84" t="s">
        <v>1537</v>
      </c>
      <c r="Y12" s="84">
        <v>0</v>
      </c>
      <c r="Z12" s="93">
        <v>43048.54039351852</v>
      </c>
      <c r="AA12" s="93">
        <v>43048.54039351852</v>
      </c>
      <c r="AB12" s="84"/>
      <c r="AC12" s="84"/>
      <c r="AD12" s="88" t="s">
        <v>1874</v>
      </c>
      <c r="AE12" s="86">
        <v>1</v>
      </c>
      <c r="AF12" s="87" t="str">
        <f>REPLACE(INDEX(GroupVertices[Group],MATCH(Edges[[#This Row],[Vertex 1]],GroupVertices[Vertex],0)),1,1,"")</f>
        <v>5</v>
      </c>
      <c r="AG12" s="87" t="str">
        <f>REPLACE(INDEX(GroupVertices[Group],MATCH(Edges[[#This Row],[Vertex 2]],GroupVertices[Vertex],0)),1,1,"")</f>
        <v>5</v>
      </c>
      <c r="AH12" s="105"/>
      <c r="AI12" s="105"/>
      <c r="AJ12" s="105"/>
      <c r="AK12" s="105"/>
      <c r="AL12" s="105"/>
      <c r="AM12" s="105"/>
      <c r="AN12" s="105"/>
      <c r="AO12" s="105"/>
      <c r="AP12" s="105"/>
    </row>
    <row r="13" spans="1:42" ht="15">
      <c r="A13" s="61" t="s">
        <v>237</v>
      </c>
      <c r="B13" s="61" t="s">
        <v>630</v>
      </c>
      <c r="C13" s="62" t="s">
        <v>2891</v>
      </c>
      <c r="D13" s="63">
        <v>5</v>
      </c>
      <c r="E13" s="62"/>
      <c r="F13" s="65">
        <v>25</v>
      </c>
      <c r="G13" s="62"/>
      <c r="H13" s="66"/>
      <c r="I13" s="67"/>
      <c r="J13" s="67"/>
      <c r="K13" s="31" t="s">
        <v>65</v>
      </c>
      <c r="L13" s="68">
        <v>13</v>
      </c>
      <c r="M13" s="68"/>
      <c r="N13" s="69"/>
      <c r="O13" s="84" t="s">
        <v>653</v>
      </c>
      <c r="P13" s="84" t="s">
        <v>215</v>
      </c>
      <c r="Q13" s="88" t="s">
        <v>664</v>
      </c>
      <c r="R13" s="84" t="s">
        <v>237</v>
      </c>
      <c r="S13" s="84" t="s">
        <v>1075</v>
      </c>
      <c r="T13" s="90" t="str">
        <f>HYPERLINK("http://www.youtube.com/channel/UC_H6K2-DSeDXUuMjGmuSmBA")</f>
        <v>http://www.youtube.com/channel/UC_H6K2-DSeDXUuMjGmuSmBA</v>
      </c>
      <c r="U13" s="84"/>
      <c r="V13" s="84" t="s">
        <v>1452</v>
      </c>
      <c r="W13" s="90" t="str">
        <f>HYPERLINK("https://www.youtube.com/watch?v=SVs7wMOdOQk")</f>
        <v>https://www.youtube.com/watch?v=SVs7wMOdOQk</v>
      </c>
      <c r="X13" s="84" t="s">
        <v>1537</v>
      </c>
      <c r="Y13" s="84">
        <v>1</v>
      </c>
      <c r="Z13" s="93">
        <v>43048.63898148148</v>
      </c>
      <c r="AA13" s="93">
        <v>43048.63898148148</v>
      </c>
      <c r="AB13" s="84"/>
      <c r="AC13" s="84"/>
      <c r="AD13" s="88" t="s">
        <v>1874</v>
      </c>
      <c r="AE13" s="86">
        <v>1</v>
      </c>
      <c r="AF13" s="87" t="str">
        <f>REPLACE(INDEX(GroupVertices[Group],MATCH(Edges[[#This Row],[Vertex 1]],GroupVertices[Vertex],0)),1,1,"")</f>
        <v>5</v>
      </c>
      <c r="AG13" s="87" t="str">
        <f>REPLACE(INDEX(GroupVertices[Group],MATCH(Edges[[#This Row],[Vertex 2]],GroupVertices[Vertex],0)),1,1,"")</f>
        <v>5</v>
      </c>
      <c r="AH13" s="105"/>
      <c r="AI13" s="105"/>
      <c r="AJ13" s="105"/>
      <c r="AK13" s="105"/>
      <c r="AL13" s="105"/>
      <c r="AM13" s="105"/>
      <c r="AN13" s="105"/>
      <c r="AO13" s="105"/>
      <c r="AP13" s="105"/>
    </row>
    <row r="14" spans="1:42" ht="15">
      <c r="A14" s="61" t="s">
        <v>238</v>
      </c>
      <c r="B14" s="61" t="s">
        <v>630</v>
      </c>
      <c r="C14" s="62" t="s">
        <v>2891</v>
      </c>
      <c r="D14" s="63">
        <v>5</v>
      </c>
      <c r="E14" s="62"/>
      <c r="F14" s="65">
        <v>25</v>
      </c>
      <c r="G14" s="62"/>
      <c r="H14" s="66"/>
      <c r="I14" s="67"/>
      <c r="J14" s="67"/>
      <c r="K14" s="31" t="s">
        <v>65</v>
      </c>
      <c r="L14" s="68">
        <v>14</v>
      </c>
      <c r="M14" s="68"/>
      <c r="N14" s="69"/>
      <c r="O14" s="84" t="s">
        <v>653</v>
      </c>
      <c r="P14" s="84" t="s">
        <v>215</v>
      </c>
      <c r="Q14" s="88" t="s">
        <v>665</v>
      </c>
      <c r="R14" s="84" t="s">
        <v>238</v>
      </c>
      <c r="S14" s="84" t="s">
        <v>1076</v>
      </c>
      <c r="T14" s="90" t="str">
        <f>HYPERLINK("http://www.youtube.com/channel/UCUDJTNrDc_nju8c7IaA_ntQ")</f>
        <v>http://www.youtube.com/channel/UCUDJTNrDc_nju8c7IaA_ntQ</v>
      </c>
      <c r="U14" s="84"/>
      <c r="V14" s="84" t="s">
        <v>1452</v>
      </c>
      <c r="W14" s="90" t="str">
        <f>HYPERLINK("https://www.youtube.com/watch?v=SVs7wMOdOQk")</f>
        <v>https://www.youtube.com/watch?v=SVs7wMOdOQk</v>
      </c>
      <c r="X14" s="84" t="s">
        <v>1537</v>
      </c>
      <c r="Y14" s="84">
        <v>1</v>
      </c>
      <c r="Z14" s="93">
        <v>43048.648506944446</v>
      </c>
      <c r="AA14" s="93">
        <v>43048.66266203704</v>
      </c>
      <c r="AB14" s="84"/>
      <c r="AC14" s="84"/>
      <c r="AD14" s="88" t="s">
        <v>1874</v>
      </c>
      <c r="AE14" s="86">
        <v>1</v>
      </c>
      <c r="AF14" s="87" t="str">
        <f>REPLACE(INDEX(GroupVertices[Group],MATCH(Edges[[#This Row],[Vertex 1]],GroupVertices[Vertex],0)),1,1,"")</f>
        <v>5</v>
      </c>
      <c r="AG14" s="87" t="str">
        <f>REPLACE(INDEX(GroupVertices[Group],MATCH(Edges[[#This Row],[Vertex 2]],GroupVertices[Vertex],0)),1,1,"")</f>
        <v>5</v>
      </c>
      <c r="AH14" s="105"/>
      <c r="AI14" s="105"/>
      <c r="AJ14" s="105"/>
      <c r="AK14" s="105"/>
      <c r="AL14" s="105"/>
      <c r="AM14" s="105"/>
      <c r="AN14" s="105"/>
      <c r="AO14" s="105"/>
      <c r="AP14" s="105"/>
    </row>
    <row r="15" spans="1:42" ht="15">
      <c r="A15" s="61" t="s">
        <v>239</v>
      </c>
      <c r="B15" s="61" t="s">
        <v>630</v>
      </c>
      <c r="C15" s="62" t="s">
        <v>2891</v>
      </c>
      <c r="D15" s="63">
        <v>5</v>
      </c>
      <c r="E15" s="62"/>
      <c r="F15" s="65">
        <v>25</v>
      </c>
      <c r="G15" s="62"/>
      <c r="H15" s="66"/>
      <c r="I15" s="67"/>
      <c r="J15" s="67"/>
      <c r="K15" s="31" t="s">
        <v>65</v>
      </c>
      <c r="L15" s="68">
        <v>15</v>
      </c>
      <c r="M15" s="68"/>
      <c r="N15" s="69"/>
      <c r="O15" s="84" t="s">
        <v>653</v>
      </c>
      <c r="P15" s="84" t="s">
        <v>215</v>
      </c>
      <c r="Q15" s="88" t="s">
        <v>666</v>
      </c>
      <c r="R15" s="84" t="s">
        <v>239</v>
      </c>
      <c r="S15" s="84" t="s">
        <v>1077</v>
      </c>
      <c r="T15" s="90" t="str">
        <f>HYPERLINK("http://www.youtube.com/channel/UCYSALmaMx_0V1ykA5Uqgn0w")</f>
        <v>http://www.youtube.com/channel/UCYSALmaMx_0V1ykA5Uqgn0w</v>
      </c>
      <c r="U15" s="84"/>
      <c r="V15" s="84" t="s">
        <v>1452</v>
      </c>
      <c r="W15" s="90" t="str">
        <f>HYPERLINK("https://www.youtube.com/watch?v=SVs7wMOdOQk")</f>
        <v>https://www.youtube.com/watch?v=SVs7wMOdOQk</v>
      </c>
      <c r="X15" s="84" t="s">
        <v>1537</v>
      </c>
      <c r="Y15" s="84">
        <v>0</v>
      </c>
      <c r="Z15" s="93">
        <v>43048.698159722226</v>
      </c>
      <c r="AA15" s="93">
        <v>43048.698159722226</v>
      </c>
      <c r="AB15" s="84"/>
      <c r="AC15" s="84"/>
      <c r="AD15" s="88" t="s">
        <v>1874</v>
      </c>
      <c r="AE15" s="86">
        <v>1</v>
      </c>
      <c r="AF15" s="87" t="str">
        <f>REPLACE(INDEX(GroupVertices[Group],MATCH(Edges[[#This Row],[Vertex 1]],GroupVertices[Vertex],0)),1,1,"")</f>
        <v>5</v>
      </c>
      <c r="AG15" s="87" t="str">
        <f>REPLACE(INDEX(GroupVertices[Group],MATCH(Edges[[#This Row],[Vertex 2]],GroupVertices[Vertex],0)),1,1,"")</f>
        <v>5</v>
      </c>
      <c r="AH15" s="105"/>
      <c r="AI15" s="105"/>
      <c r="AJ15" s="105"/>
      <c r="AK15" s="105"/>
      <c r="AL15" s="105"/>
      <c r="AM15" s="105"/>
      <c r="AN15" s="105"/>
      <c r="AO15" s="105"/>
      <c r="AP15" s="105"/>
    </row>
    <row r="16" spans="1:42" ht="15">
      <c r="A16" s="61" t="s">
        <v>240</v>
      </c>
      <c r="B16" s="61" t="s">
        <v>630</v>
      </c>
      <c r="C16" s="62" t="s">
        <v>2891</v>
      </c>
      <c r="D16" s="63">
        <v>5</v>
      </c>
      <c r="E16" s="62"/>
      <c r="F16" s="65">
        <v>25</v>
      </c>
      <c r="G16" s="62"/>
      <c r="H16" s="66"/>
      <c r="I16" s="67"/>
      <c r="J16" s="67"/>
      <c r="K16" s="31" t="s">
        <v>65</v>
      </c>
      <c r="L16" s="68">
        <v>16</v>
      </c>
      <c r="M16" s="68"/>
      <c r="N16" s="69"/>
      <c r="O16" s="84" t="s">
        <v>653</v>
      </c>
      <c r="P16" s="84" t="s">
        <v>215</v>
      </c>
      <c r="Q16" s="88" t="s">
        <v>667</v>
      </c>
      <c r="R16" s="84" t="s">
        <v>240</v>
      </c>
      <c r="S16" s="84" t="s">
        <v>1078</v>
      </c>
      <c r="T16" s="90" t="str">
        <f>HYPERLINK("http://www.youtube.com/channel/UC-ygckEHTVwRMZi9LVsf80A")</f>
        <v>http://www.youtube.com/channel/UC-ygckEHTVwRMZi9LVsf80A</v>
      </c>
      <c r="U16" s="84"/>
      <c r="V16" s="84" t="s">
        <v>1452</v>
      </c>
      <c r="W16" s="90" t="str">
        <f>HYPERLINK("https://www.youtube.com/watch?v=SVs7wMOdOQk")</f>
        <v>https://www.youtube.com/watch?v=SVs7wMOdOQk</v>
      </c>
      <c r="X16" s="84" t="s">
        <v>1537</v>
      </c>
      <c r="Y16" s="84">
        <v>0</v>
      </c>
      <c r="Z16" s="93">
        <v>43048.74811342593</v>
      </c>
      <c r="AA16" s="93">
        <v>43048.75802083333</v>
      </c>
      <c r="AB16" s="84"/>
      <c r="AC16" s="84"/>
      <c r="AD16" s="88" t="s">
        <v>1874</v>
      </c>
      <c r="AE16" s="86">
        <v>1</v>
      </c>
      <c r="AF16" s="87" t="str">
        <f>REPLACE(INDEX(GroupVertices[Group],MATCH(Edges[[#This Row],[Vertex 1]],GroupVertices[Vertex],0)),1,1,"")</f>
        <v>5</v>
      </c>
      <c r="AG16" s="87" t="str">
        <f>REPLACE(INDEX(GroupVertices[Group],MATCH(Edges[[#This Row],[Vertex 2]],GroupVertices[Vertex],0)),1,1,"")</f>
        <v>5</v>
      </c>
      <c r="AH16" s="105"/>
      <c r="AI16" s="105"/>
      <c r="AJ16" s="105"/>
      <c r="AK16" s="105"/>
      <c r="AL16" s="105"/>
      <c r="AM16" s="105"/>
      <c r="AN16" s="105"/>
      <c r="AO16" s="105"/>
      <c r="AP16" s="105"/>
    </row>
    <row r="17" spans="1:42" ht="15">
      <c r="A17" s="61" t="s">
        <v>241</v>
      </c>
      <c r="B17" s="61" t="s">
        <v>630</v>
      </c>
      <c r="C17" s="62" t="s">
        <v>2891</v>
      </c>
      <c r="D17" s="63">
        <v>5</v>
      </c>
      <c r="E17" s="62"/>
      <c r="F17" s="65">
        <v>25</v>
      </c>
      <c r="G17" s="62"/>
      <c r="H17" s="66"/>
      <c r="I17" s="67"/>
      <c r="J17" s="67"/>
      <c r="K17" s="31" t="s">
        <v>65</v>
      </c>
      <c r="L17" s="68">
        <v>17</v>
      </c>
      <c r="M17" s="68"/>
      <c r="N17" s="69"/>
      <c r="O17" s="84" t="s">
        <v>653</v>
      </c>
      <c r="P17" s="84" t="s">
        <v>215</v>
      </c>
      <c r="Q17" s="88" t="s">
        <v>668</v>
      </c>
      <c r="R17" s="84" t="s">
        <v>241</v>
      </c>
      <c r="S17" s="84" t="s">
        <v>1079</v>
      </c>
      <c r="T17" s="90" t="str">
        <f>HYPERLINK("http://www.youtube.com/channel/UCCYIWPy2scsIGJrXT0kgUAw")</f>
        <v>http://www.youtube.com/channel/UCCYIWPy2scsIGJrXT0kgUAw</v>
      </c>
      <c r="U17" s="84"/>
      <c r="V17" s="84" t="s">
        <v>1452</v>
      </c>
      <c r="W17" s="90" t="str">
        <f>HYPERLINK("https://www.youtube.com/watch?v=SVs7wMOdOQk")</f>
        <v>https://www.youtube.com/watch?v=SVs7wMOdOQk</v>
      </c>
      <c r="X17" s="84" t="s">
        <v>1537</v>
      </c>
      <c r="Y17" s="84">
        <v>1</v>
      </c>
      <c r="Z17" s="93">
        <v>43048.74922453704</v>
      </c>
      <c r="AA17" s="93">
        <v>43048.74922453704</v>
      </c>
      <c r="AB17" s="84"/>
      <c r="AC17" s="84"/>
      <c r="AD17" s="88" t="s">
        <v>1874</v>
      </c>
      <c r="AE17" s="86">
        <v>1</v>
      </c>
      <c r="AF17" s="87" t="str">
        <f>REPLACE(INDEX(GroupVertices[Group],MATCH(Edges[[#This Row],[Vertex 1]],GroupVertices[Vertex],0)),1,1,"")</f>
        <v>5</v>
      </c>
      <c r="AG17" s="87" t="str">
        <f>REPLACE(INDEX(GroupVertices[Group],MATCH(Edges[[#This Row],[Vertex 2]],GroupVertices[Vertex],0)),1,1,"")</f>
        <v>5</v>
      </c>
      <c r="AH17" s="105"/>
      <c r="AI17" s="105"/>
      <c r="AJ17" s="105"/>
      <c r="AK17" s="105"/>
      <c r="AL17" s="105"/>
      <c r="AM17" s="105"/>
      <c r="AN17" s="105"/>
      <c r="AO17" s="105"/>
      <c r="AP17" s="105"/>
    </row>
    <row r="18" spans="1:42" ht="15">
      <c r="A18" s="61" t="s">
        <v>242</v>
      </c>
      <c r="B18" s="61" t="s">
        <v>630</v>
      </c>
      <c r="C18" s="62" t="s">
        <v>2891</v>
      </c>
      <c r="D18" s="63">
        <v>5</v>
      </c>
      <c r="E18" s="62"/>
      <c r="F18" s="65">
        <v>25</v>
      </c>
      <c r="G18" s="62"/>
      <c r="H18" s="66"/>
      <c r="I18" s="67"/>
      <c r="J18" s="67"/>
      <c r="K18" s="31" t="s">
        <v>65</v>
      </c>
      <c r="L18" s="68">
        <v>18</v>
      </c>
      <c r="M18" s="68"/>
      <c r="N18" s="69"/>
      <c r="O18" s="84" t="s">
        <v>653</v>
      </c>
      <c r="P18" s="84" t="s">
        <v>215</v>
      </c>
      <c r="Q18" s="88" t="s">
        <v>669</v>
      </c>
      <c r="R18" s="84" t="s">
        <v>242</v>
      </c>
      <c r="S18" s="84" t="s">
        <v>1080</v>
      </c>
      <c r="T18" s="90" t="str">
        <f>HYPERLINK("http://www.youtube.com/channel/UCGXDLzbl0ksOun3nlvAr9eQ")</f>
        <v>http://www.youtube.com/channel/UCGXDLzbl0ksOun3nlvAr9eQ</v>
      </c>
      <c r="U18" s="84"/>
      <c r="V18" s="84" t="s">
        <v>1452</v>
      </c>
      <c r="W18" s="90" t="str">
        <f>HYPERLINK("https://www.youtube.com/watch?v=SVs7wMOdOQk")</f>
        <v>https://www.youtube.com/watch?v=SVs7wMOdOQk</v>
      </c>
      <c r="X18" s="84" t="s">
        <v>1537</v>
      </c>
      <c r="Y18" s="84">
        <v>0</v>
      </c>
      <c r="Z18" s="93">
        <v>43048.773831018516</v>
      </c>
      <c r="AA18" s="93">
        <v>43048.773831018516</v>
      </c>
      <c r="AB18" s="84"/>
      <c r="AC18" s="84"/>
      <c r="AD18" s="88" t="s">
        <v>1874</v>
      </c>
      <c r="AE18" s="86">
        <v>1</v>
      </c>
      <c r="AF18" s="87" t="str">
        <f>REPLACE(INDEX(GroupVertices[Group],MATCH(Edges[[#This Row],[Vertex 1]],GroupVertices[Vertex],0)),1,1,"")</f>
        <v>5</v>
      </c>
      <c r="AG18" s="87" t="str">
        <f>REPLACE(INDEX(GroupVertices[Group],MATCH(Edges[[#This Row],[Vertex 2]],GroupVertices[Vertex],0)),1,1,"")</f>
        <v>5</v>
      </c>
      <c r="AH18" s="105"/>
      <c r="AI18" s="105"/>
      <c r="AJ18" s="105"/>
      <c r="AK18" s="105"/>
      <c r="AL18" s="105"/>
      <c r="AM18" s="105"/>
      <c r="AN18" s="105"/>
      <c r="AO18" s="105"/>
      <c r="AP18" s="105"/>
    </row>
    <row r="19" spans="1:42" ht="15">
      <c r="A19" s="61" t="s">
        <v>243</v>
      </c>
      <c r="B19" s="61" t="s">
        <v>630</v>
      </c>
      <c r="C19" s="62" t="s">
        <v>2892</v>
      </c>
      <c r="D19" s="63">
        <v>5.833333333333333</v>
      </c>
      <c r="E19" s="62"/>
      <c r="F19" s="65">
        <v>15</v>
      </c>
      <c r="G19" s="62"/>
      <c r="H19" s="66"/>
      <c r="I19" s="67"/>
      <c r="J19" s="67"/>
      <c r="K19" s="31" t="s">
        <v>65</v>
      </c>
      <c r="L19" s="68">
        <v>19</v>
      </c>
      <c r="M19" s="68"/>
      <c r="N19" s="69"/>
      <c r="O19" s="84" t="s">
        <v>653</v>
      </c>
      <c r="P19" s="84" t="s">
        <v>215</v>
      </c>
      <c r="Q19" s="88" t="s">
        <v>670</v>
      </c>
      <c r="R19" s="84" t="s">
        <v>243</v>
      </c>
      <c r="S19" s="84" t="s">
        <v>1081</v>
      </c>
      <c r="T19" s="90" t="str">
        <f>HYPERLINK("http://www.youtube.com/channel/UCdzpuJiYaTApFvutghFHd5A")</f>
        <v>http://www.youtube.com/channel/UCdzpuJiYaTApFvutghFHd5A</v>
      </c>
      <c r="U19" s="84"/>
      <c r="V19" s="84" t="s">
        <v>1452</v>
      </c>
      <c r="W19" s="90" t="str">
        <f>HYPERLINK("https://www.youtube.com/watch?v=SVs7wMOdOQk")</f>
        <v>https://www.youtube.com/watch?v=SVs7wMOdOQk</v>
      </c>
      <c r="X19" s="84" t="s">
        <v>1537</v>
      </c>
      <c r="Y19" s="84">
        <v>1</v>
      </c>
      <c r="Z19" s="93">
        <v>43048.79305555556</v>
      </c>
      <c r="AA19" s="93">
        <v>43048.79305555556</v>
      </c>
      <c r="AB19" s="84"/>
      <c r="AC19" s="84"/>
      <c r="AD19" s="88" t="s">
        <v>1874</v>
      </c>
      <c r="AE19" s="86">
        <v>2</v>
      </c>
      <c r="AF19" s="87" t="str">
        <f>REPLACE(INDEX(GroupVertices[Group],MATCH(Edges[[#This Row],[Vertex 1]],GroupVertices[Vertex],0)),1,1,"")</f>
        <v>5</v>
      </c>
      <c r="AG19" s="87" t="str">
        <f>REPLACE(INDEX(GroupVertices[Group],MATCH(Edges[[#This Row],[Vertex 2]],GroupVertices[Vertex],0)),1,1,"")</f>
        <v>5</v>
      </c>
      <c r="AH19" s="105"/>
      <c r="AI19" s="105"/>
      <c r="AJ19" s="105"/>
      <c r="AK19" s="105"/>
      <c r="AL19" s="105"/>
      <c r="AM19" s="105"/>
      <c r="AN19" s="105"/>
      <c r="AO19" s="105"/>
      <c r="AP19" s="105"/>
    </row>
    <row r="20" spans="1:42" ht="15">
      <c r="A20" s="61" t="s">
        <v>243</v>
      </c>
      <c r="B20" s="61" t="s">
        <v>630</v>
      </c>
      <c r="C20" s="62" t="s">
        <v>2892</v>
      </c>
      <c r="D20" s="63">
        <v>5.833333333333333</v>
      </c>
      <c r="E20" s="62"/>
      <c r="F20" s="65">
        <v>15</v>
      </c>
      <c r="G20" s="62"/>
      <c r="H20" s="66"/>
      <c r="I20" s="67"/>
      <c r="J20" s="67"/>
      <c r="K20" s="31" t="s">
        <v>65</v>
      </c>
      <c r="L20" s="68">
        <v>20</v>
      </c>
      <c r="M20" s="68"/>
      <c r="N20" s="69"/>
      <c r="O20" s="84" t="s">
        <v>653</v>
      </c>
      <c r="P20" s="84" t="s">
        <v>215</v>
      </c>
      <c r="Q20" s="88" t="s">
        <v>671</v>
      </c>
      <c r="R20" s="84" t="s">
        <v>243</v>
      </c>
      <c r="S20" s="84" t="s">
        <v>1081</v>
      </c>
      <c r="T20" s="90" t="str">
        <f>HYPERLINK("http://www.youtube.com/channel/UCdzpuJiYaTApFvutghFHd5A")</f>
        <v>http://www.youtube.com/channel/UCdzpuJiYaTApFvutghFHd5A</v>
      </c>
      <c r="U20" s="84"/>
      <c r="V20" s="84" t="s">
        <v>1452</v>
      </c>
      <c r="W20" s="90" t="str">
        <f>HYPERLINK("https://www.youtube.com/watch?v=SVs7wMOdOQk")</f>
        <v>https://www.youtube.com/watch?v=SVs7wMOdOQk</v>
      </c>
      <c r="X20" s="84" t="s">
        <v>1537</v>
      </c>
      <c r="Y20" s="84">
        <v>1</v>
      </c>
      <c r="Z20" s="93">
        <v>43048.80100694444</v>
      </c>
      <c r="AA20" s="93">
        <v>43048.80100694444</v>
      </c>
      <c r="AB20" s="84"/>
      <c r="AC20" s="84"/>
      <c r="AD20" s="88" t="s">
        <v>1874</v>
      </c>
      <c r="AE20" s="86">
        <v>2</v>
      </c>
      <c r="AF20" s="87" t="str">
        <f>REPLACE(INDEX(GroupVertices[Group],MATCH(Edges[[#This Row],[Vertex 1]],GroupVertices[Vertex],0)),1,1,"")</f>
        <v>5</v>
      </c>
      <c r="AG20" s="87" t="str">
        <f>REPLACE(INDEX(GroupVertices[Group],MATCH(Edges[[#This Row],[Vertex 2]],GroupVertices[Vertex],0)),1,1,"")</f>
        <v>5</v>
      </c>
      <c r="AH20" s="105"/>
      <c r="AI20" s="105"/>
      <c r="AJ20" s="105"/>
      <c r="AK20" s="105"/>
      <c r="AL20" s="105"/>
      <c r="AM20" s="105"/>
      <c r="AN20" s="105"/>
      <c r="AO20" s="105"/>
      <c r="AP20" s="105"/>
    </row>
    <row r="21" spans="1:42" ht="15">
      <c r="A21" s="61" t="s">
        <v>244</v>
      </c>
      <c r="B21" s="61" t="s">
        <v>630</v>
      </c>
      <c r="C21" s="62" t="s">
        <v>2891</v>
      </c>
      <c r="D21" s="63">
        <v>5</v>
      </c>
      <c r="E21" s="62"/>
      <c r="F21" s="65">
        <v>25</v>
      </c>
      <c r="G21" s="62"/>
      <c r="H21" s="66"/>
      <c r="I21" s="67"/>
      <c r="J21" s="67"/>
      <c r="K21" s="31" t="s">
        <v>65</v>
      </c>
      <c r="L21" s="68">
        <v>21</v>
      </c>
      <c r="M21" s="68"/>
      <c r="N21" s="69"/>
      <c r="O21" s="84" t="s">
        <v>653</v>
      </c>
      <c r="P21" s="84" t="s">
        <v>215</v>
      </c>
      <c r="Q21" s="88" t="s">
        <v>672</v>
      </c>
      <c r="R21" s="84" t="s">
        <v>244</v>
      </c>
      <c r="S21" s="84" t="s">
        <v>1082</v>
      </c>
      <c r="T21" s="90" t="str">
        <f>HYPERLINK("http://www.youtube.com/channel/UC5O_YHYA-2CwAn7tJL9yUzA")</f>
        <v>http://www.youtube.com/channel/UC5O_YHYA-2CwAn7tJL9yUzA</v>
      </c>
      <c r="U21" s="84"/>
      <c r="V21" s="84" t="s">
        <v>1452</v>
      </c>
      <c r="W21" s="90" t="str">
        <f>HYPERLINK("https://www.youtube.com/watch?v=SVs7wMOdOQk")</f>
        <v>https://www.youtube.com/watch?v=SVs7wMOdOQk</v>
      </c>
      <c r="X21" s="84" t="s">
        <v>1537</v>
      </c>
      <c r="Y21" s="84">
        <v>0</v>
      </c>
      <c r="Z21" s="93">
        <v>43078.18319444444</v>
      </c>
      <c r="AA21" s="93">
        <v>43078.18319444444</v>
      </c>
      <c r="AB21" s="84"/>
      <c r="AC21" s="84"/>
      <c r="AD21" s="88" t="s">
        <v>1874</v>
      </c>
      <c r="AE21" s="86">
        <v>1</v>
      </c>
      <c r="AF21" s="87" t="str">
        <f>REPLACE(INDEX(GroupVertices[Group],MATCH(Edges[[#This Row],[Vertex 1]],GroupVertices[Vertex],0)),1,1,"")</f>
        <v>5</v>
      </c>
      <c r="AG21" s="87" t="str">
        <f>REPLACE(INDEX(GroupVertices[Group],MATCH(Edges[[#This Row],[Vertex 2]],GroupVertices[Vertex],0)),1,1,"")</f>
        <v>5</v>
      </c>
      <c r="AH21" s="105"/>
      <c r="AI21" s="105"/>
      <c r="AJ21" s="105"/>
      <c r="AK21" s="105"/>
      <c r="AL21" s="105"/>
      <c r="AM21" s="105"/>
      <c r="AN21" s="105"/>
      <c r="AO21" s="105"/>
      <c r="AP21" s="105"/>
    </row>
    <row r="22" spans="1:42" ht="15">
      <c r="A22" s="61" t="s">
        <v>245</v>
      </c>
      <c r="B22" s="61" t="s">
        <v>630</v>
      </c>
      <c r="C22" s="62" t="s">
        <v>2891</v>
      </c>
      <c r="D22" s="63">
        <v>5</v>
      </c>
      <c r="E22" s="62"/>
      <c r="F22" s="65">
        <v>25</v>
      </c>
      <c r="G22" s="62"/>
      <c r="H22" s="66"/>
      <c r="I22" s="67"/>
      <c r="J22" s="67"/>
      <c r="K22" s="31" t="s">
        <v>65</v>
      </c>
      <c r="L22" s="68">
        <v>22</v>
      </c>
      <c r="M22" s="68"/>
      <c r="N22" s="69"/>
      <c r="O22" s="84" t="s">
        <v>653</v>
      </c>
      <c r="P22" s="84" t="s">
        <v>215</v>
      </c>
      <c r="Q22" s="88" t="s">
        <v>673</v>
      </c>
      <c r="R22" s="84" t="s">
        <v>245</v>
      </c>
      <c r="S22" s="84" t="s">
        <v>1083</v>
      </c>
      <c r="T22" s="90" t="str">
        <f>HYPERLINK("http://www.youtube.com/channel/UC8bKlk-DIJYq9qktzqLojaQ")</f>
        <v>http://www.youtube.com/channel/UC8bKlk-DIJYq9qktzqLojaQ</v>
      </c>
      <c r="U22" s="84"/>
      <c r="V22" s="84" t="s">
        <v>1452</v>
      </c>
      <c r="W22" s="90" t="str">
        <f>HYPERLINK("https://www.youtube.com/watch?v=SVs7wMOdOQk")</f>
        <v>https://www.youtube.com/watch?v=SVs7wMOdOQk</v>
      </c>
      <c r="X22" s="84" t="s">
        <v>1537</v>
      </c>
      <c r="Y22" s="84">
        <v>1</v>
      </c>
      <c r="Z22" s="84" t="s">
        <v>1538</v>
      </c>
      <c r="AA22" s="84" t="s">
        <v>1836</v>
      </c>
      <c r="AB22" s="84"/>
      <c r="AC22" s="84"/>
      <c r="AD22" s="88" t="s">
        <v>1874</v>
      </c>
      <c r="AE22" s="86">
        <v>1</v>
      </c>
      <c r="AF22" s="87" t="str">
        <f>REPLACE(INDEX(GroupVertices[Group],MATCH(Edges[[#This Row],[Vertex 1]],GroupVertices[Vertex],0)),1,1,"")</f>
        <v>5</v>
      </c>
      <c r="AG22" s="87" t="str">
        <f>REPLACE(INDEX(GroupVertices[Group],MATCH(Edges[[#This Row],[Vertex 2]],GroupVertices[Vertex],0)),1,1,"")</f>
        <v>5</v>
      </c>
      <c r="AH22" s="105"/>
      <c r="AI22" s="105"/>
      <c r="AJ22" s="105"/>
      <c r="AK22" s="105"/>
      <c r="AL22" s="105"/>
      <c r="AM22" s="105"/>
      <c r="AN22" s="105"/>
      <c r="AO22" s="105"/>
      <c r="AP22" s="105"/>
    </row>
    <row r="23" spans="1:42" ht="15">
      <c r="A23" s="61" t="s">
        <v>246</v>
      </c>
      <c r="B23" s="61" t="s">
        <v>630</v>
      </c>
      <c r="C23" s="62" t="s">
        <v>2892</v>
      </c>
      <c r="D23" s="63">
        <v>5.833333333333333</v>
      </c>
      <c r="E23" s="62"/>
      <c r="F23" s="65">
        <v>15</v>
      </c>
      <c r="G23" s="62"/>
      <c r="H23" s="66"/>
      <c r="I23" s="67"/>
      <c r="J23" s="67"/>
      <c r="K23" s="31" t="s">
        <v>65</v>
      </c>
      <c r="L23" s="68">
        <v>23</v>
      </c>
      <c r="M23" s="68"/>
      <c r="N23" s="69"/>
      <c r="O23" s="84" t="s">
        <v>653</v>
      </c>
      <c r="P23" s="84" t="s">
        <v>215</v>
      </c>
      <c r="Q23" s="88" t="s">
        <v>674</v>
      </c>
      <c r="R23" s="84" t="s">
        <v>246</v>
      </c>
      <c r="S23" s="84" t="s">
        <v>1084</v>
      </c>
      <c r="T23" s="90" t="str">
        <f>HYPERLINK("http://www.youtube.com/channel/UCWebd4X9IQn0Akf4h_y6dZQ")</f>
        <v>http://www.youtube.com/channel/UCWebd4X9IQn0Akf4h_y6dZQ</v>
      </c>
      <c r="U23" s="84"/>
      <c r="V23" s="84" t="s">
        <v>1452</v>
      </c>
      <c r="W23" s="90" t="str">
        <f>HYPERLINK("https://www.youtube.com/watch?v=SVs7wMOdOQk")</f>
        <v>https://www.youtube.com/watch?v=SVs7wMOdOQk</v>
      </c>
      <c r="X23" s="84" t="s">
        <v>1537</v>
      </c>
      <c r="Y23" s="84">
        <v>0</v>
      </c>
      <c r="Z23" s="84" t="s">
        <v>1539</v>
      </c>
      <c r="AA23" s="84" t="s">
        <v>1539</v>
      </c>
      <c r="AB23" s="84"/>
      <c r="AC23" s="84"/>
      <c r="AD23" s="88" t="s">
        <v>1874</v>
      </c>
      <c r="AE23" s="86">
        <v>2</v>
      </c>
      <c r="AF23" s="87" t="str">
        <f>REPLACE(INDEX(GroupVertices[Group],MATCH(Edges[[#This Row],[Vertex 1]],GroupVertices[Vertex],0)),1,1,"")</f>
        <v>5</v>
      </c>
      <c r="AG23" s="87" t="str">
        <f>REPLACE(INDEX(GroupVertices[Group],MATCH(Edges[[#This Row],[Vertex 2]],GroupVertices[Vertex],0)),1,1,"")</f>
        <v>5</v>
      </c>
      <c r="AH23" s="105"/>
      <c r="AI23" s="105"/>
      <c r="AJ23" s="105"/>
      <c r="AK23" s="105"/>
      <c r="AL23" s="105"/>
      <c r="AM23" s="105"/>
      <c r="AN23" s="105"/>
      <c r="AO23" s="105"/>
      <c r="AP23" s="105"/>
    </row>
    <row r="24" spans="1:42" ht="15">
      <c r="A24" s="61" t="s">
        <v>246</v>
      </c>
      <c r="B24" s="61" t="s">
        <v>630</v>
      </c>
      <c r="C24" s="62" t="s">
        <v>2892</v>
      </c>
      <c r="D24" s="63">
        <v>5.833333333333333</v>
      </c>
      <c r="E24" s="62"/>
      <c r="F24" s="65">
        <v>15</v>
      </c>
      <c r="G24" s="62"/>
      <c r="H24" s="66"/>
      <c r="I24" s="67"/>
      <c r="J24" s="67"/>
      <c r="K24" s="31" t="s">
        <v>65</v>
      </c>
      <c r="L24" s="68">
        <v>24</v>
      </c>
      <c r="M24" s="68"/>
      <c r="N24" s="69"/>
      <c r="O24" s="84" t="s">
        <v>653</v>
      </c>
      <c r="P24" s="84" t="s">
        <v>215</v>
      </c>
      <c r="Q24" s="88" t="s">
        <v>675</v>
      </c>
      <c r="R24" s="84" t="s">
        <v>246</v>
      </c>
      <c r="S24" s="84" t="s">
        <v>1084</v>
      </c>
      <c r="T24" s="90" t="str">
        <f>HYPERLINK("http://www.youtube.com/channel/UCWebd4X9IQn0Akf4h_y6dZQ")</f>
        <v>http://www.youtube.com/channel/UCWebd4X9IQn0Akf4h_y6dZQ</v>
      </c>
      <c r="U24" s="84"/>
      <c r="V24" s="84" t="s">
        <v>1452</v>
      </c>
      <c r="W24" s="90" t="str">
        <f>HYPERLINK("https://www.youtube.com/watch?v=SVs7wMOdOQk")</f>
        <v>https://www.youtube.com/watch?v=SVs7wMOdOQk</v>
      </c>
      <c r="X24" s="84" t="s">
        <v>1537</v>
      </c>
      <c r="Y24" s="84">
        <v>1</v>
      </c>
      <c r="Z24" s="84" t="s">
        <v>1540</v>
      </c>
      <c r="AA24" s="84" t="s">
        <v>1540</v>
      </c>
      <c r="AB24" s="84"/>
      <c r="AC24" s="84"/>
      <c r="AD24" s="88" t="s">
        <v>1874</v>
      </c>
      <c r="AE24" s="86">
        <v>2</v>
      </c>
      <c r="AF24" s="87" t="str">
        <f>REPLACE(INDEX(GroupVertices[Group],MATCH(Edges[[#This Row],[Vertex 1]],GroupVertices[Vertex],0)),1,1,"")</f>
        <v>5</v>
      </c>
      <c r="AG24" s="87" t="str">
        <f>REPLACE(INDEX(GroupVertices[Group],MATCH(Edges[[#This Row],[Vertex 2]],GroupVertices[Vertex],0)),1,1,"")</f>
        <v>5</v>
      </c>
      <c r="AH24" s="105"/>
      <c r="AI24" s="105"/>
      <c r="AJ24" s="105"/>
      <c r="AK24" s="105"/>
      <c r="AL24" s="105"/>
      <c r="AM24" s="105"/>
      <c r="AN24" s="105"/>
      <c r="AO24" s="105"/>
      <c r="AP24" s="105"/>
    </row>
    <row r="25" spans="1:42" ht="15">
      <c r="A25" s="61" t="s">
        <v>247</v>
      </c>
      <c r="B25" s="61" t="s">
        <v>630</v>
      </c>
      <c r="C25" s="62" t="s">
        <v>2891</v>
      </c>
      <c r="D25" s="63">
        <v>5</v>
      </c>
      <c r="E25" s="62"/>
      <c r="F25" s="65">
        <v>25</v>
      </c>
      <c r="G25" s="62"/>
      <c r="H25" s="66"/>
      <c r="I25" s="67"/>
      <c r="J25" s="67"/>
      <c r="K25" s="31" t="s">
        <v>65</v>
      </c>
      <c r="L25" s="68">
        <v>25</v>
      </c>
      <c r="M25" s="68"/>
      <c r="N25" s="69"/>
      <c r="O25" s="84" t="s">
        <v>653</v>
      </c>
      <c r="P25" s="84" t="s">
        <v>215</v>
      </c>
      <c r="Q25" s="88" t="s">
        <v>676</v>
      </c>
      <c r="R25" s="84" t="s">
        <v>247</v>
      </c>
      <c r="S25" s="84" t="s">
        <v>1085</v>
      </c>
      <c r="T25" s="90" t="str">
        <f>HYPERLINK("http://www.youtube.com/channel/UCLQJf_7sxppKIfXZTY8Oe-w")</f>
        <v>http://www.youtube.com/channel/UCLQJf_7sxppKIfXZTY8Oe-w</v>
      </c>
      <c r="U25" s="84"/>
      <c r="V25" s="84" t="s">
        <v>1452</v>
      </c>
      <c r="W25" s="90" t="str">
        <f>HYPERLINK("https://www.youtube.com/watch?v=SVs7wMOdOQk")</f>
        <v>https://www.youtube.com/watch?v=SVs7wMOdOQk</v>
      </c>
      <c r="X25" s="84" t="s">
        <v>1537</v>
      </c>
      <c r="Y25" s="84">
        <v>1</v>
      </c>
      <c r="Z25" s="84" t="s">
        <v>1541</v>
      </c>
      <c r="AA25" s="84" t="s">
        <v>1541</v>
      </c>
      <c r="AB25" s="84"/>
      <c r="AC25" s="84"/>
      <c r="AD25" s="88" t="s">
        <v>1874</v>
      </c>
      <c r="AE25" s="86">
        <v>1</v>
      </c>
      <c r="AF25" s="87" t="str">
        <f>REPLACE(INDEX(GroupVertices[Group],MATCH(Edges[[#This Row],[Vertex 1]],GroupVertices[Vertex],0)),1,1,"")</f>
        <v>5</v>
      </c>
      <c r="AG25" s="87" t="str">
        <f>REPLACE(INDEX(GroupVertices[Group],MATCH(Edges[[#This Row],[Vertex 2]],GroupVertices[Vertex],0)),1,1,"")</f>
        <v>5</v>
      </c>
      <c r="AH25" s="105"/>
      <c r="AI25" s="105"/>
      <c r="AJ25" s="105"/>
      <c r="AK25" s="105"/>
      <c r="AL25" s="105"/>
      <c r="AM25" s="105"/>
      <c r="AN25" s="105"/>
      <c r="AO25" s="105"/>
      <c r="AP25" s="105"/>
    </row>
    <row r="26" spans="1:42" ht="15">
      <c r="A26" s="61" t="s">
        <v>248</v>
      </c>
      <c r="B26" s="61" t="s">
        <v>630</v>
      </c>
      <c r="C26" s="62" t="s">
        <v>2891</v>
      </c>
      <c r="D26" s="63">
        <v>5</v>
      </c>
      <c r="E26" s="62"/>
      <c r="F26" s="65">
        <v>25</v>
      </c>
      <c r="G26" s="62"/>
      <c r="H26" s="66"/>
      <c r="I26" s="67"/>
      <c r="J26" s="67"/>
      <c r="K26" s="31" t="s">
        <v>65</v>
      </c>
      <c r="L26" s="68">
        <v>26</v>
      </c>
      <c r="M26" s="68"/>
      <c r="N26" s="69"/>
      <c r="O26" s="84" t="s">
        <v>653</v>
      </c>
      <c r="P26" s="84" t="s">
        <v>215</v>
      </c>
      <c r="Q26" s="88" t="s">
        <v>677</v>
      </c>
      <c r="R26" s="84" t="s">
        <v>248</v>
      </c>
      <c r="S26" s="84" t="s">
        <v>1086</v>
      </c>
      <c r="T26" s="90" t="str">
        <f>HYPERLINK("http://www.youtube.com/channel/UCdp9-mg6d5lS9PwvMrPEPpw")</f>
        <v>http://www.youtube.com/channel/UCdp9-mg6d5lS9PwvMrPEPpw</v>
      </c>
      <c r="U26" s="84"/>
      <c r="V26" s="84" t="s">
        <v>1452</v>
      </c>
      <c r="W26" s="90" t="str">
        <f>HYPERLINK("https://www.youtube.com/watch?v=SVs7wMOdOQk")</f>
        <v>https://www.youtube.com/watch?v=SVs7wMOdOQk</v>
      </c>
      <c r="X26" s="84" t="s">
        <v>1537</v>
      </c>
      <c r="Y26" s="84">
        <v>0</v>
      </c>
      <c r="Z26" s="93">
        <v>43588.61461805556</v>
      </c>
      <c r="AA26" s="93">
        <v>43588.61461805556</v>
      </c>
      <c r="AB26" s="84"/>
      <c r="AC26" s="84"/>
      <c r="AD26" s="88" t="s">
        <v>1874</v>
      </c>
      <c r="AE26" s="86">
        <v>1</v>
      </c>
      <c r="AF26" s="87" t="str">
        <f>REPLACE(INDEX(GroupVertices[Group],MATCH(Edges[[#This Row],[Vertex 1]],GroupVertices[Vertex],0)),1,1,"")</f>
        <v>5</v>
      </c>
      <c r="AG26" s="87" t="str">
        <f>REPLACE(INDEX(GroupVertices[Group],MATCH(Edges[[#This Row],[Vertex 2]],GroupVertices[Vertex],0)),1,1,"")</f>
        <v>5</v>
      </c>
      <c r="AH26" s="105"/>
      <c r="AI26" s="105"/>
      <c r="AJ26" s="105"/>
      <c r="AK26" s="105"/>
      <c r="AL26" s="105"/>
      <c r="AM26" s="105"/>
      <c r="AN26" s="105"/>
      <c r="AO26" s="105"/>
      <c r="AP26" s="105"/>
    </row>
    <row r="27" spans="1:42" ht="15">
      <c r="A27" s="61" t="s">
        <v>249</v>
      </c>
      <c r="B27" s="61" t="s">
        <v>630</v>
      </c>
      <c r="C27" s="62" t="s">
        <v>2891</v>
      </c>
      <c r="D27" s="63">
        <v>5</v>
      </c>
      <c r="E27" s="62"/>
      <c r="F27" s="65">
        <v>25</v>
      </c>
      <c r="G27" s="62"/>
      <c r="H27" s="66"/>
      <c r="I27" s="67"/>
      <c r="J27" s="67"/>
      <c r="K27" s="31" t="s">
        <v>65</v>
      </c>
      <c r="L27" s="68">
        <v>27</v>
      </c>
      <c r="M27" s="68"/>
      <c r="N27" s="69"/>
      <c r="O27" s="84" t="s">
        <v>653</v>
      </c>
      <c r="P27" s="84" t="s">
        <v>215</v>
      </c>
      <c r="Q27" s="88" t="s">
        <v>678</v>
      </c>
      <c r="R27" s="84" t="s">
        <v>249</v>
      </c>
      <c r="S27" s="84" t="s">
        <v>1087</v>
      </c>
      <c r="T27" s="90" t="str">
        <f>HYPERLINK("http://www.youtube.com/channel/UCq8J60ZKx-MCnUnARTOhA3g")</f>
        <v>http://www.youtube.com/channel/UCq8J60ZKx-MCnUnARTOhA3g</v>
      </c>
      <c r="U27" s="84"/>
      <c r="V27" s="84" t="s">
        <v>1452</v>
      </c>
      <c r="W27" s="90" t="str">
        <f>HYPERLINK("https://www.youtube.com/watch?v=SVs7wMOdOQk")</f>
        <v>https://www.youtube.com/watch?v=SVs7wMOdOQk</v>
      </c>
      <c r="X27" s="84" t="s">
        <v>1537</v>
      </c>
      <c r="Y27" s="84">
        <v>0</v>
      </c>
      <c r="Z27" s="93">
        <v>45108.091469907406</v>
      </c>
      <c r="AA27" s="93">
        <v>45108.091469907406</v>
      </c>
      <c r="AB27" s="84"/>
      <c r="AC27" s="84"/>
      <c r="AD27" s="88" t="s">
        <v>1874</v>
      </c>
      <c r="AE27" s="86">
        <v>1</v>
      </c>
      <c r="AF27" s="87" t="str">
        <f>REPLACE(INDEX(GroupVertices[Group],MATCH(Edges[[#This Row],[Vertex 1]],GroupVertices[Vertex],0)),1,1,"")</f>
        <v>5</v>
      </c>
      <c r="AG27" s="87" t="str">
        <f>REPLACE(INDEX(GroupVertices[Group],MATCH(Edges[[#This Row],[Vertex 2]],GroupVertices[Vertex],0)),1,1,"")</f>
        <v>5</v>
      </c>
      <c r="AH27" s="105"/>
      <c r="AI27" s="105"/>
      <c r="AJ27" s="105"/>
      <c r="AK27" s="105"/>
      <c r="AL27" s="105"/>
      <c r="AM27" s="105"/>
      <c r="AN27" s="105"/>
      <c r="AO27" s="105"/>
      <c r="AP27" s="105"/>
    </row>
    <row r="28" spans="1:42" ht="15">
      <c r="A28" s="61" t="s">
        <v>250</v>
      </c>
      <c r="B28" s="61" t="s">
        <v>606</v>
      </c>
      <c r="C28" s="62" t="s">
        <v>2891</v>
      </c>
      <c r="D28" s="63">
        <v>5</v>
      </c>
      <c r="E28" s="62"/>
      <c r="F28" s="65">
        <v>25</v>
      </c>
      <c r="G28" s="62"/>
      <c r="H28" s="66"/>
      <c r="I28" s="67"/>
      <c r="J28" s="67"/>
      <c r="K28" s="31" t="s">
        <v>65</v>
      </c>
      <c r="L28" s="68">
        <v>28</v>
      </c>
      <c r="M28" s="68"/>
      <c r="N28" s="69"/>
      <c r="O28" s="84" t="s">
        <v>653</v>
      </c>
      <c r="P28" s="84" t="s">
        <v>215</v>
      </c>
      <c r="Q28" s="88" t="s">
        <v>679</v>
      </c>
      <c r="R28" s="84" t="s">
        <v>250</v>
      </c>
      <c r="S28" s="84" t="s">
        <v>1088</v>
      </c>
      <c r="T28" s="90" t="str">
        <f>HYPERLINK("http://www.youtube.com/channel/UCHOII6DuvqAl0QGk6HWdEtg")</f>
        <v>http://www.youtube.com/channel/UCHOII6DuvqAl0QGk6HWdEtg</v>
      </c>
      <c r="U28" s="84"/>
      <c r="V28" s="84" t="s">
        <v>1453</v>
      </c>
      <c r="W28" s="90" t="str">
        <f>HYPERLINK("https://www.youtube.com/watch?v=1bh2dHZIrHI")</f>
        <v>https://www.youtube.com/watch?v=1bh2dHZIrHI</v>
      </c>
      <c r="X28" s="84" t="s">
        <v>1537</v>
      </c>
      <c r="Y28" s="84">
        <v>0</v>
      </c>
      <c r="Z28" s="84" t="s">
        <v>1542</v>
      </c>
      <c r="AA28" s="84" t="s">
        <v>1542</v>
      </c>
      <c r="AB28" s="84" t="s">
        <v>1855</v>
      </c>
      <c r="AC28" s="84" t="s">
        <v>1869</v>
      </c>
      <c r="AD28" s="88" t="s">
        <v>1874</v>
      </c>
      <c r="AE28" s="86">
        <v>1</v>
      </c>
      <c r="AF28" s="87" t="str">
        <f>REPLACE(INDEX(GroupVertices[Group],MATCH(Edges[[#This Row],[Vertex 1]],GroupVertices[Vertex],0)),1,1,"")</f>
        <v>13</v>
      </c>
      <c r="AG28" s="87" t="str">
        <f>REPLACE(INDEX(GroupVertices[Group],MATCH(Edges[[#This Row],[Vertex 2]],GroupVertices[Vertex],0)),1,1,"")</f>
        <v>13</v>
      </c>
      <c r="AH28" s="105"/>
      <c r="AI28" s="105"/>
      <c r="AJ28" s="105"/>
      <c r="AK28" s="105"/>
      <c r="AL28" s="105"/>
      <c r="AM28" s="105"/>
      <c r="AN28" s="105"/>
      <c r="AO28" s="105"/>
      <c r="AP28" s="105"/>
    </row>
    <row r="29" spans="1:42" ht="15">
      <c r="A29" s="61" t="s">
        <v>251</v>
      </c>
      <c r="B29" s="61" t="s">
        <v>606</v>
      </c>
      <c r="C29" s="62" t="s">
        <v>2891</v>
      </c>
      <c r="D29" s="63">
        <v>5</v>
      </c>
      <c r="E29" s="62"/>
      <c r="F29" s="65">
        <v>25</v>
      </c>
      <c r="G29" s="62"/>
      <c r="H29" s="66"/>
      <c r="I29" s="67"/>
      <c r="J29" s="67"/>
      <c r="K29" s="31" t="s">
        <v>65</v>
      </c>
      <c r="L29" s="68">
        <v>29</v>
      </c>
      <c r="M29" s="68"/>
      <c r="N29" s="69"/>
      <c r="O29" s="84" t="s">
        <v>653</v>
      </c>
      <c r="P29" s="84" t="s">
        <v>215</v>
      </c>
      <c r="Q29" s="88" t="s">
        <v>680</v>
      </c>
      <c r="R29" s="84" t="s">
        <v>251</v>
      </c>
      <c r="S29" s="84" t="s">
        <v>1089</v>
      </c>
      <c r="T29" s="90" t="str">
        <f>HYPERLINK("http://www.youtube.com/channel/UC1Sb6Fskyuo9ho4uLU4xGHA")</f>
        <v>http://www.youtube.com/channel/UC1Sb6Fskyuo9ho4uLU4xGHA</v>
      </c>
      <c r="U29" s="84"/>
      <c r="V29" s="84" t="s">
        <v>1453</v>
      </c>
      <c r="W29" s="90" t="str">
        <f>HYPERLINK("https://www.youtube.com/watch?v=1bh2dHZIrHI")</f>
        <v>https://www.youtube.com/watch?v=1bh2dHZIrHI</v>
      </c>
      <c r="X29" s="84" t="s">
        <v>1537</v>
      </c>
      <c r="Y29" s="84">
        <v>0</v>
      </c>
      <c r="Z29" s="84" t="s">
        <v>1543</v>
      </c>
      <c r="AA29" s="84" t="s">
        <v>1543</v>
      </c>
      <c r="AB29" s="84"/>
      <c r="AC29" s="84"/>
      <c r="AD29" s="88" t="s">
        <v>1874</v>
      </c>
      <c r="AE29" s="86">
        <v>1</v>
      </c>
      <c r="AF29" s="87" t="str">
        <f>REPLACE(INDEX(GroupVertices[Group],MATCH(Edges[[#This Row],[Vertex 1]],GroupVertices[Vertex],0)),1,1,"")</f>
        <v>13</v>
      </c>
      <c r="AG29" s="87" t="str">
        <f>REPLACE(INDEX(GroupVertices[Group],MATCH(Edges[[#This Row],[Vertex 2]],GroupVertices[Vertex],0)),1,1,"")</f>
        <v>13</v>
      </c>
      <c r="AH29" s="105"/>
      <c r="AI29" s="105"/>
      <c r="AJ29" s="105"/>
      <c r="AK29" s="105"/>
      <c r="AL29" s="105"/>
      <c r="AM29" s="105"/>
      <c r="AN29" s="105"/>
      <c r="AO29" s="105"/>
      <c r="AP29" s="105"/>
    </row>
    <row r="30" spans="1:42" ht="15">
      <c r="A30" s="61" t="s">
        <v>252</v>
      </c>
      <c r="B30" s="61" t="s">
        <v>606</v>
      </c>
      <c r="C30" s="62" t="s">
        <v>2891</v>
      </c>
      <c r="D30" s="63">
        <v>5</v>
      </c>
      <c r="E30" s="62"/>
      <c r="F30" s="65">
        <v>25</v>
      </c>
      <c r="G30" s="62"/>
      <c r="H30" s="66"/>
      <c r="I30" s="67"/>
      <c r="J30" s="67"/>
      <c r="K30" s="31" t="s">
        <v>65</v>
      </c>
      <c r="L30" s="68">
        <v>30</v>
      </c>
      <c r="M30" s="68"/>
      <c r="N30" s="69"/>
      <c r="O30" s="84" t="s">
        <v>653</v>
      </c>
      <c r="P30" s="84" t="s">
        <v>215</v>
      </c>
      <c r="Q30" s="88" t="s">
        <v>681</v>
      </c>
      <c r="R30" s="84" t="s">
        <v>252</v>
      </c>
      <c r="S30" s="84" t="s">
        <v>1090</v>
      </c>
      <c r="T30" s="90" t="str">
        <f>HYPERLINK("http://www.youtube.com/channel/UCXUs_nk0mXyVs9w2nSQ2L0w")</f>
        <v>http://www.youtube.com/channel/UCXUs_nk0mXyVs9w2nSQ2L0w</v>
      </c>
      <c r="U30" s="84"/>
      <c r="V30" s="84" t="s">
        <v>1453</v>
      </c>
      <c r="W30" s="90" t="str">
        <f>HYPERLINK("https://www.youtube.com/watch?v=1bh2dHZIrHI")</f>
        <v>https://www.youtube.com/watch?v=1bh2dHZIrHI</v>
      </c>
      <c r="X30" s="84" t="s">
        <v>1537</v>
      </c>
      <c r="Y30" s="84">
        <v>0</v>
      </c>
      <c r="Z30" s="84" t="s">
        <v>1544</v>
      </c>
      <c r="AA30" s="84" t="s">
        <v>1544</v>
      </c>
      <c r="AB30" s="84"/>
      <c r="AC30" s="84"/>
      <c r="AD30" s="88" t="s">
        <v>1874</v>
      </c>
      <c r="AE30" s="86">
        <v>1</v>
      </c>
      <c r="AF30" s="87" t="str">
        <f>REPLACE(INDEX(GroupVertices[Group],MATCH(Edges[[#This Row],[Vertex 1]],GroupVertices[Vertex],0)),1,1,"")</f>
        <v>13</v>
      </c>
      <c r="AG30" s="87" t="str">
        <f>REPLACE(INDEX(GroupVertices[Group],MATCH(Edges[[#This Row],[Vertex 2]],GroupVertices[Vertex],0)),1,1,"")</f>
        <v>13</v>
      </c>
      <c r="AH30" s="105"/>
      <c r="AI30" s="105"/>
      <c r="AJ30" s="105"/>
      <c r="AK30" s="105"/>
      <c r="AL30" s="105"/>
      <c r="AM30" s="105"/>
      <c r="AN30" s="105"/>
      <c r="AO30" s="105"/>
      <c r="AP30" s="105"/>
    </row>
    <row r="31" spans="1:42" ht="15">
      <c r="A31" s="61" t="s">
        <v>253</v>
      </c>
      <c r="B31" s="61" t="s">
        <v>606</v>
      </c>
      <c r="C31" s="62" t="s">
        <v>2891</v>
      </c>
      <c r="D31" s="63">
        <v>5</v>
      </c>
      <c r="E31" s="62"/>
      <c r="F31" s="65">
        <v>25</v>
      </c>
      <c r="G31" s="62"/>
      <c r="H31" s="66"/>
      <c r="I31" s="67"/>
      <c r="J31" s="67"/>
      <c r="K31" s="31" t="s">
        <v>65</v>
      </c>
      <c r="L31" s="68">
        <v>31</v>
      </c>
      <c r="M31" s="68"/>
      <c r="N31" s="69"/>
      <c r="O31" s="84" t="s">
        <v>653</v>
      </c>
      <c r="P31" s="84" t="s">
        <v>215</v>
      </c>
      <c r="Q31" s="88" t="s">
        <v>682</v>
      </c>
      <c r="R31" s="84" t="s">
        <v>253</v>
      </c>
      <c r="S31" s="84" t="s">
        <v>1091</v>
      </c>
      <c r="T31" s="90" t="str">
        <f>HYPERLINK("http://www.youtube.com/channel/UC287WsW462sPDKVqfubq6PA")</f>
        <v>http://www.youtube.com/channel/UC287WsW462sPDKVqfubq6PA</v>
      </c>
      <c r="U31" s="84"/>
      <c r="V31" s="84" t="s">
        <v>1453</v>
      </c>
      <c r="W31" s="90" t="str">
        <f>HYPERLINK("https://www.youtube.com/watch?v=1bh2dHZIrHI")</f>
        <v>https://www.youtube.com/watch?v=1bh2dHZIrHI</v>
      </c>
      <c r="X31" s="84" t="s">
        <v>1537</v>
      </c>
      <c r="Y31" s="84">
        <v>2</v>
      </c>
      <c r="Z31" s="84" t="s">
        <v>1545</v>
      </c>
      <c r="AA31" s="84" t="s">
        <v>1545</v>
      </c>
      <c r="AB31" s="84"/>
      <c r="AC31" s="84"/>
      <c r="AD31" s="88" t="s">
        <v>1874</v>
      </c>
      <c r="AE31" s="86">
        <v>1</v>
      </c>
      <c r="AF31" s="87" t="str">
        <f>REPLACE(INDEX(GroupVertices[Group],MATCH(Edges[[#This Row],[Vertex 1]],GroupVertices[Vertex],0)),1,1,"")</f>
        <v>13</v>
      </c>
      <c r="AG31" s="87" t="str">
        <f>REPLACE(INDEX(GroupVertices[Group],MATCH(Edges[[#This Row],[Vertex 2]],GroupVertices[Vertex],0)),1,1,"")</f>
        <v>13</v>
      </c>
      <c r="AH31" s="105"/>
      <c r="AI31" s="105"/>
      <c r="AJ31" s="105"/>
      <c r="AK31" s="105"/>
      <c r="AL31" s="105"/>
      <c r="AM31" s="105"/>
      <c r="AN31" s="105"/>
      <c r="AO31" s="105"/>
      <c r="AP31" s="105"/>
    </row>
    <row r="32" spans="1:42" ht="15">
      <c r="A32" s="61" t="s">
        <v>254</v>
      </c>
      <c r="B32" s="61" t="s">
        <v>606</v>
      </c>
      <c r="C32" s="62" t="s">
        <v>2891</v>
      </c>
      <c r="D32" s="63">
        <v>5</v>
      </c>
      <c r="E32" s="62"/>
      <c r="F32" s="65">
        <v>25</v>
      </c>
      <c r="G32" s="62"/>
      <c r="H32" s="66"/>
      <c r="I32" s="67"/>
      <c r="J32" s="67"/>
      <c r="K32" s="31" t="s">
        <v>65</v>
      </c>
      <c r="L32" s="68">
        <v>32</v>
      </c>
      <c r="M32" s="68"/>
      <c r="N32" s="69"/>
      <c r="O32" s="84" t="s">
        <v>653</v>
      </c>
      <c r="P32" s="84" t="s">
        <v>215</v>
      </c>
      <c r="Q32" s="88" t="s">
        <v>683</v>
      </c>
      <c r="R32" s="84" t="s">
        <v>254</v>
      </c>
      <c r="S32" s="84" t="s">
        <v>1092</v>
      </c>
      <c r="T32" s="90" t="str">
        <f>HYPERLINK("http://www.youtube.com/channel/UC9mqn6pJjj7mU_EAtN1vn0Q")</f>
        <v>http://www.youtube.com/channel/UC9mqn6pJjj7mU_EAtN1vn0Q</v>
      </c>
      <c r="U32" s="84"/>
      <c r="V32" s="84" t="s">
        <v>1453</v>
      </c>
      <c r="W32" s="90" t="str">
        <f>HYPERLINK("https://www.youtube.com/watch?v=1bh2dHZIrHI")</f>
        <v>https://www.youtube.com/watch?v=1bh2dHZIrHI</v>
      </c>
      <c r="X32" s="84" t="s">
        <v>1537</v>
      </c>
      <c r="Y32" s="84">
        <v>0</v>
      </c>
      <c r="Z32" s="84" t="s">
        <v>1546</v>
      </c>
      <c r="AA32" s="84" t="s">
        <v>1546</v>
      </c>
      <c r="AB32" s="84"/>
      <c r="AC32" s="84"/>
      <c r="AD32" s="88" t="s">
        <v>1874</v>
      </c>
      <c r="AE32" s="86">
        <v>1</v>
      </c>
      <c r="AF32" s="87" t="str">
        <f>REPLACE(INDEX(GroupVertices[Group],MATCH(Edges[[#This Row],[Vertex 1]],GroupVertices[Vertex],0)),1,1,"")</f>
        <v>13</v>
      </c>
      <c r="AG32" s="87" t="str">
        <f>REPLACE(INDEX(GroupVertices[Group],MATCH(Edges[[#This Row],[Vertex 2]],GroupVertices[Vertex],0)),1,1,"")</f>
        <v>13</v>
      </c>
      <c r="AH32" s="105"/>
      <c r="AI32" s="105"/>
      <c r="AJ32" s="105"/>
      <c r="AK32" s="105"/>
      <c r="AL32" s="105"/>
      <c r="AM32" s="105"/>
      <c r="AN32" s="105"/>
      <c r="AO32" s="105"/>
      <c r="AP32" s="105"/>
    </row>
    <row r="33" spans="1:42" ht="15">
      <c r="A33" s="61" t="s">
        <v>255</v>
      </c>
      <c r="B33" s="61" t="s">
        <v>606</v>
      </c>
      <c r="C33" s="62" t="s">
        <v>2891</v>
      </c>
      <c r="D33" s="63">
        <v>5</v>
      </c>
      <c r="E33" s="62"/>
      <c r="F33" s="65">
        <v>25</v>
      </c>
      <c r="G33" s="62"/>
      <c r="H33" s="66"/>
      <c r="I33" s="67"/>
      <c r="J33" s="67"/>
      <c r="K33" s="31" t="s">
        <v>65</v>
      </c>
      <c r="L33" s="68">
        <v>33</v>
      </c>
      <c r="M33" s="68"/>
      <c r="N33" s="69"/>
      <c r="O33" s="84" t="s">
        <v>653</v>
      </c>
      <c r="P33" s="84" t="s">
        <v>215</v>
      </c>
      <c r="Q33" s="88" t="s">
        <v>684</v>
      </c>
      <c r="R33" s="84" t="s">
        <v>255</v>
      </c>
      <c r="S33" s="84" t="s">
        <v>1093</v>
      </c>
      <c r="T33" s="90" t="str">
        <f>HYPERLINK("http://www.youtube.com/channel/UCfGeZ-TZjsuVnnKeSTHYGsQ")</f>
        <v>http://www.youtube.com/channel/UCfGeZ-TZjsuVnnKeSTHYGsQ</v>
      </c>
      <c r="U33" s="84"/>
      <c r="V33" s="84" t="s">
        <v>1453</v>
      </c>
      <c r="W33" s="90" t="str">
        <f>HYPERLINK("https://www.youtube.com/watch?v=1bh2dHZIrHI")</f>
        <v>https://www.youtube.com/watch?v=1bh2dHZIrHI</v>
      </c>
      <c r="X33" s="84" t="s">
        <v>1537</v>
      </c>
      <c r="Y33" s="84">
        <v>2</v>
      </c>
      <c r="Z33" s="84" t="s">
        <v>1547</v>
      </c>
      <c r="AA33" s="84" t="s">
        <v>1547</v>
      </c>
      <c r="AB33" s="84"/>
      <c r="AC33" s="84"/>
      <c r="AD33" s="88" t="s">
        <v>1874</v>
      </c>
      <c r="AE33" s="86">
        <v>1</v>
      </c>
      <c r="AF33" s="87" t="str">
        <f>REPLACE(INDEX(GroupVertices[Group],MATCH(Edges[[#This Row],[Vertex 1]],GroupVertices[Vertex],0)),1,1,"")</f>
        <v>13</v>
      </c>
      <c r="AG33" s="87" t="str">
        <f>REPLACE(INDEX(GroupVertices[Group],MATCH(Edges[[#This Row],[Vertex 2]],GroupVertices[Vertex],0)),1,1,"")</f>
        <v>13</v>
      </c>
      <c r="AH33" s="105"/>
      <c r="AI33" s="105"/>
      <c r="AJ33" s="105"/>
      <c r="AK33" s="105"/>
      <c r="AL33" s="105"/>
      <c r="AM33" s="105"/>
      <c r="AN33" s="105"/>
      <c r="AO33" s="105"/>
      <c r="AP33" s="105"/>
    </row>
    <row r="34" spans="1:42" ht="15">
      <c r="A34" s="61" t="s">
        <v>256</v>
      </c>
      <c r="B34" s="61" t="s">
        <v>606</v>
      </c>
      <c r="C34" s="62" t="s">
        <v>2891</v>
      </c>
      <c r="D34" s="63">
        <v>5</v>
      </c>
      <c r="E34" s="62"/>
      <c r="F34" s="65">
        <v>25</v>
      </c>
      <c r="G34" s="62"/>
      <c r="H34" s="66"/>
      <c r="I34" s="67"/>
      <c r="J34" s="67"/>
      <c r="K34" s="31" t="s">
        <v>65</v>
      </c>
      <c r="L34" s="68">
        <v>34</v>
      </c>
      <c r="M34" s="68"/>
      <c r="N34" s="69"/>
      <c r="O34" s="84" t="s">
        <v>653</v>
      </c>
      <c r="P34" s="84" t="s">
        <v>215</v>
      </c>
      <c r="Q34" s="88" t="s">
        <v>685</v>
      </c>
      <c r="R34" s="84" t="s">
        <v>256</v>
      </c>
      <c r="S34" s="84" t="s">
        <v>1094</v>
      </c>
      <c r="T34" s="90" t="str">
        <f>HYPERLINK("http://www.youtube.com/channel/UCNYzG0rGEEtAe7Jz4MxlBQg")</f>
        <v>http://www.youtube.com/channel/UCNYzG0rGEEtAe7Jz4MxlBQg</v>
      </c>
      <c r="U34" s="84"/>
      <c r="V34" s="84" t="s">
        <v>1453</v>
      </c>
      <c r="W34" s="90" t="str">
        <f>HYPERLINK("https://www.youtube.com/watch?v=1bh2dHZIrHI")</f>
        <v>https://www.youtube.com/watch?v=1bh2dHZIrHI</v>
      </c>
      <c r="X34" s="84" t="s">
        <v>1537</v>
      </c>
      <c r="Y34" s="84">
        <v>0</v>
      </c>
      <c r="Z34" s="84" t="s">
        <v>1548</v>
      </c>
      <c r="AA34" s="84" t="s">
        <v>1548</v>
      </c>
      <c r="AB34" s="84"/>
      <c r="AC34" s="84"/>
      <c r="AD34" s="88" t="s">
        <v>1874</v>
      </c>
      <c r="AE34" s="86">
        <v>1</v>
      </c>
      <c r="AF34" s="87" t="str">
        <f>REPLACE(INDEX(GroupVertices[Group],MATCH(Edges[[#This Row],[Vertex 1]],GroupVertices[Vertex],0)),1,1,"")</f>
        <v>13</v>
      </c>
      <c r="AG34" s="87" t="str">
        <f>REPLACE(INDEX(GroupVertices[Group],MATCH(Edges[[#This Row],[Vertex 2]],GroupVertices[Vertex],0)),1,1,"")</f>
        <v>13</v>
      </c>
      <c r="AH34" s="105"/>
      <c r="AI34" s="105"/>
      <c r="AJ34" s="105"/>
      <c r="AK34" s="105"/>
      <c r="AL34" s="105"/>
      <c r="AM34" s="105"/>
      <c r="AN34" s="105"/>
      <c r="AO34" s="105"/>
      <c r="AP34" s="105"/>
    </row>
    <row r="35" spans="1:42" ht="15">
      <c r="A35" s="61" t="s">
        <v>257</v>
      </c>
      <c r="B35" s="61" t="s">
        <v>642</v>
      </c>
      <c r="C35" s="62" t="s">
        <v>2891</v>
      </c>
      <c r="D35" s="63">
        <v>5</v>
      </c>
      <c r="E35" s="62"/>
      <c r="F35" s="65">
        <v>25</v>
      </c>
      <c r="G35" s="62"/>
      <c r="H35" s="66"/>
      <c r="I35" s="67"/>
      <c r="J35" s="67"/>
      <c r="K35" s="31" t="s">
        <v>65</v>
      </c>
      <c r="L35" s="68">
        <v>35</v>
      </c>
      <c r="M35" s="68"/>
      <c r="N35" s="69"/>
      <c r="O35" s="84" t="s">
        <v>653</v>
      </c>
      <c r="P35" s="84" t="s">
        <v>215</v>
      </c>
      <c r="Q35" s="88" t="s">
        <v>686</v>
      </c>
      <c r="R35" s="84" t="s">
        <v>257</v>
      </c>
      <c r="S35" s="84" t="s">
        <v>1095</v>
      </c>
      <c r="T35" s="90" t="str">
        <f>HYPERLINK("http://www.youtube.com/channel/UCNAx0n6Cguqcc8E3AleZ8Aw")</f>
        <v>http://www.youtube.com/channel/UCNAx0n6Cguqcc8E3AleZ8Aw</v>
      </c>
      <c r="U35" s="84"/>
      <c r="V35" s="84" t="s">
        <v>1454</v>
      </c>
      <c r="W35" s="90" t="str">
        <f>HYPERLINK("https://www.youtube.com/watch?v=N26V8flGCIw")</f>
        <v>https://www.youtube.com/watch?v=N26V8flGCIw</v>
      </c>
      <c r="X35" s="84" t="s">
        <v>1537</v>
      </c>
      <c r="Y35" s="84">
        <v>1</v>
      </c>
      <c r="Z35" s="93">
        <v>43682.619675925926</v>
      </c>
      <c r="AA35" s="93">
        <v>43682.619675925926</v>
      </c>
      <c r="AB35" s="84"/>
      <c r="AC35" s="84"/>
      <c r="AD35" s="88" t="s">
        <v>1874</v>
      </c>
      <c r="AE35" s="86">
        <v>1</v>
      </c>
      <c r="AF35" s="87" t="str">
        <f>REPLACE(INDEX(GroupVertices[Group],MATCH(Edges[[#This Row],[Vertex 1]],GroupVertices[Vertex],0)),1,1,"")</f>
        <v>3</v>
      </c>
      <c r="AG35" s="87" t="str">
        <f>REPLACE(INDEX(GroupVertices[Group],MATCH(Edges[[#This Row],[Vertex 2]],GroupVertices[Vertex],0)),1,1,"")</f>
        <v>3</v>
      </c>
      <c r="AH35" s="105"/>
      <c r="AI35" s="105"/>
      <c r="AJ35" s="105"/>
      <c r="AK35" s="105"/>
      <c r="AL35" s="105"/>
      <c r="AM35" s="105"/>
      <c r="AN35" s="105"/>
      <c r="AO35" s="105"/>
      <c r="AP35" s="105"/>
    </row>
    <row r="36" spans="1:42" ht="15">
      <c r="A36" s="61" t="s">
        <v>258</v>
      </c>
      <c r="B36" s="61" t="s">
        <v>642</v>
      </c>
      <c r="C36" s="62" t="s">
        <v>2891</v>
      </c>
      <c r="D36" s="63">
        <v>5</v>
      </c>
      <c r="E36" s="62"/>
      <c r="F36" s="65">
        <v>25</v>
      </c>
      <c r="G36" s="62"/>
      <c r="H36" s="66"/>
      <c r="I36" s="67"/>
      <c r="J36" s="67"/>
      <c r="K36" s="31" t="s">
        <v>65</v>
      </c>
      <c r="L36" s="68">
        <v>36</v>
      </c>
      <c r="M36" s="68"/>
      <c r="N36" s="69"/>
      <c r="O36" s="84" t="s">
        <v>653</v>
      </c>
      <c r="P36" s="84" t="s">
        <v>215</v>
      </c>
      <c r="Q36" s="88" t="s">
        <v>687</v>
      </c>
      <c r="R36" s="84" t="s">
        <v>258</v>
      </c>
      <c r="S36" s="84" t="s">
        <v>1096</v>
      </c>
      <c r="T36" s="90" t="str">
        <f>HYPERLINK("http://www.youtube.com/channel/UCz06cOiRrG5whrG--z9sonQ")</f>
        <v>http://www.youtube.com/channel/UCz06cOiRrG5whrG--z9sonQ</v>
      </c>
      <c r="U36" s="84"/>
      <c r="V36" s="84" t="s">
        <v>1454</v>
      </c>
      <c r="W36" s="90" t="str">
        <f>HYPERLINK("https://www.youtube.com/watch?v=N26V8flGCIw")</f>
        <v>https://www.youtube.com/watch?v=N26V8flGCIw</v>
      </c>
      <c r="X36" s="84" t="s">
        <v>1537</v>
      </c>
      <c r="Y36" s="84">
        <v>1</v>
      </c>
      <c r="Z36" s="93">
        <v>43682.633877314816</v>
      </c>
      <c r="AA36" s="93">
        <v>43682.633877314816</v>
      </c>
      <c r="AB36" s="84"/>
      <c r="AC36" s="84"/>
      <c r="AD36" s="88" t="s">
        <v>1874</v>
      </c>
      <c r="AE36" s="86">
        <v>1</v>
      </c>
      <c r="AF36" s="87" t="str">
        <f>REPLACE(INDEX(GroupVertices[Group],MATCH(Edges[[#This Row],[Vertex 1]],GroupVertices[Vertex],0)),1,1,"")</f>
        <v>3</v>
      </c>
      <c r="AG36" s="87" t="str">
        <f>REPLACE(INDEX(GroupVertices[Group],MATCH(Edges[[#This Row],[Vertex 2]],GroupVertices[Vertex],0)),1,1,"")</f>
        <v>3</v>
      </c>
      <c r="AH36" s="105"/>
      <c r="AI36" s="105"/>
      <c r="AJ36" s="105"/>
      <c r="AK36" s="105"/>
      <c r="AL36" s="105"/>
      <c r="AM36" s="105"/>
      <c r="AN36" s="105"/>
      <c r="AO36" s="105"/>
      <c r="AP36" s="105"/>
    </row>
    <row r="37" spans="1:42" ht="15">
      <c r="A37" s="61" t="s">
        <v>259</v>
      </c>
      <c r="B37" s="61" t="s">
        <v>642</v>
      </c>
      <c r="C37" s="62" t="s">
        <v>2891</v>
      </c>
      <c r="D37" s="63">
        <v>5</v>
      </c>
      <c r="E37" s="62"/>
      <c r="F37" s="65">
        <v>25</v>
      </c>
      <c r="G37" s="62"/>
      <c r="H37" s="66"/>
      <c r="I37" s="67"/>
      <c r="J37" s="67"/>
      <c r="K37" s="31" t="s">
        <v>65</v>
      </c>
      <c r="L37" s="68">
        <v>37</v>
      </c>
      <c r="M37" s="68"/>
      <c r="N37" s="69"/>
      <c r="O37" s="84" t="s">
        <v>653</v>
      </c>
      <c r="P37" s="84" t="s">
        <v>215</v>
      </c>
      <c r="Q37" s="88" t="s">
        <v>688</v>
      </c>
      <c r="R37" s="84" t="s">
        <v>259</v>
      </c>
      <c r="S37" s="84" t="s">
        <v>1097</v>
      </c>
      <c r="T37" s="90" t="str">
        <f>HYPERLINK("http://www.youtube.com/channel/UCEECRK7IVPi6dMaJR_TtZrg")</f>
        <v>http://www.youtube.com/channel/UCEECRK7IVPi6dMaJR_TtZrg</v>
      </c>
      <c r="U37" s="84"/>
      <c r="V37" s="84" t="s">
        <v>1454</v>
      </c>
      <c r="W37" s="90" t="str">
        <f>HYPERLINK("https://www.youtube.com/watch?v=N26V8flGCIw")</f>
        <v>https://www.youtube.com/watch?v=N26V8flGCIw</v>
      </c>
      <c r="X37" s="84" t="s">
        <v>1537</v>
      </c>
      <c r="Y37" s="84">
        <v>1</v>
      </c>
      <c r="Z37" s="93">
        <v>43682.642546296294</v>
      </c>
      <c r="AA37" s="93">
        <v>43682.642546296294</v>
      </c>
      <c r="AB37" s="84"/>
      <c r="AC37" s="84"/>
      <c r="AD37" s="88" t="s">
        <v>1874</v>
      </c>
      <c r="AE37" s="86">
        <v>1</v>
      </c>
      <c r="AF37" s="87" t="str">
        <f>REPLACE(INDEX(GroupVertices[Group],MATCH(Edges[[#This Row],[Vertex 1]],GroupVertices[Vertex],0)),1,1,"")</f>
        <v>3</v>
      </c>
      <c r="AG37" s="87" t="str">
        <f>REPLACE(INDEX(GroupVertices[Group],MATCH(Edges[[#This Row],[Vertex 2]],GroupVertices[Vertex],0)),1,1,"")</f>
        <v>3</v>
      </c>
      <c r="AH37" s="105"/>
      <c r="AI37" s="105"/>
      <c r="AJ37" s="105"/>
      <c r="AK37" s="105"/>
      <c r="AL37" s="105"/>
      <c r="AM37" s="105"/>
      <c r="AN37" s="105"/>
      <c r="AO37" s="105"/>
      <c r="AP37" s="105"/>
    </row>
    <row r="38" spans="1:42" ht="15">
      <c r="A38" s="61" t="s">
        <v>260</v>
      </c>
      <c r="B38" s="61" t="s">
        <v>642</v>
      </c>
      <c r="C38" s="62" t="s">
        <v>2891</v>
      </c>
      <c r="D38" s="63">
        <v>5</v>
      </c>
      <c r="E38" s="62"/>
      <c r="F38" s="65">
        <v>25</v>
      </c>
      <c r="G38" s="62"/>
      <c r="H38" s="66"/>
      <c r="I38" s="67"/>
      <c r="J38" s="67"/>
      <c r="K38" s="31" t="s">
        <v>65</v>
      </c>
      <c r="L38" s="68">
        <v>38</v>
      </c>
      <c r="M38" s="68"/>
      <c r="N38" s="69"/>
      <c r="O38" s="84" t="s">
        <v>653</v>
      </c>
      <c r="P38" s="84" t="s">
        <v>215</v>
      </c>
      <c r="Q38" s="88" t="s">
        <v>689</v>
      </c>
      <c r="R38" s="84" t="s">
        <v>260</v>
      </c>
      <c r="S38" s="84" t="s">
        <v>1098</v>
      </c>
      <c r="T38" s="90" t="str">
        <f>HYPERLINK("http://www.youtube.com/channel/UCq67-V8cROcR_kfKgydP44g")</f>
        <v>http://www.youtube.com/channel/UCq67-V8cROcR_kfKgydP44g</v>
      </c>
      <c r="U38" s="84"/>
      <c r="V38" s="84" t="s">
        <v>1454</v>
      </c>
      <c r="W38" s="90" t="str">
        <f>HYPERLINK("https://www.youtube.com/watch?v=N26V8flGCIw")</f>
        <v>https://www.youtube.com/watch?v=N26V8flGCIw</v>
      </c>
      <c r="X38" s="84" t="s">
        <v>1537</v>
      </c>
      <c r="Y38" s="84">
        <v>3</v>
      </c>
      <c r="Z38" s="93">
        <v>43713.93271990741</v>
      </c>
      <c r="AA38" s="93">
        <v>43713.93271990741</v>
      </c>
      <c r="AB38" s="84"/>
      <c r="AC38" s="84"/>
      <c r="AD38" s="88" t="s">
        <v>1874</v>
      </c>
      <c r="AE38" s="86">
        <v>1</v>
      </c>
      <c r="AF38" s="87" t="str">
        <f>REPLACE(INDEX(GroupVertices[Group],MATCH(Edges[[#This Row],[Vertex 1]],GroupVertices[Vertex],0)),1,1,"")</f>
        <v>3</v>
      </c>
      <c r="AG38" s="87" t="str">
        <f>REPLACE(INDEX(GroupVertices[Group],MATCH(Edges[[#This Row],[Vertex 2]],GroupVertices[Vertex],0)),1,1,"")</f>
        <v>3</v>
      </c>
      <c r="AH38" s="105"/>
      <c r="AI38" s="105"/>
      <c r="AJ38" s="105"/>
      <c r="AK38" s="105"/>
      <c r="AL38" s="105"/>
      <c r="AM38" s="105"/>
      <c r="AN38" s="105"/>
      <c r="AO38" s="105"/>
      <c r="AP38" s="105"/>
    </row>
    <row r="39" spans="1:42" ht="15">
      <c r="A39" s="61" t="s">
        <v>261</v>
      </c>
      <c r="B39" s="61" t="s">
        <v>642</v>
      </c>
      <c r="C39" s="62" t="s">
        <v>2891</v>
      </c>
      <c r="D39" s="63">
        <v>5</v>
      </c>
      <c r="E39" s="62"/>
      <c r="F39" s="65">
        <v>25</v>
      </c>
      <c r="G39" s="62"/>
      <c r="H39" s="66"/>
      <c r="I39" s="67"/>
      <c r="J39" s="67"/>
      <c r="K39" s="31" t="s">
        <v>65</v>
      </c>
      <c r="L39" s="68">
        <v>39</v>
      </c>
      <c r="M39" s="68"/>
      <c r="N39" s="69"/>
      <c r="O39" s="84" t="s">
        <v>653</v>
      </c>
      <c r="P39" s="84" t="s">
        <v>215</v>
      </c>
      <c r="Q39" s="88" t="s">
        <v>690</v>
      </c>
      <c r="R39" s="84" t="s">
        <v>261</v>
      </c>
      <c r="S39" s="84" t="s">
        <v>1099</v>
      </c>
      <c r="T39" s="90" t="str">
        <f>HYPERLINK("http://www.youtube.com/channel/UCUme9NF3IJ3-Z0Cv5hdxu1w")</f>
        <v>http://www.youtube.com/channel/UCUme9NF3IJ3-Z0Cv5hdxu1w</v>
      </c>
      <c r="U39" s="84"/>
      <c r="V39" s="84" t="s">
        <v>1454</v>
      </c>
      <c r="W39" s="90" t="str">
        <f>HYPERLINK("https://www.youtube.com/watch?v=N26V8flGCIw")</f>
        <v>https://www.youtube.com/watch?v=N26V8flGCIw</v>
      </c>
      <c r="X39" s="84" t="s">
        <v>1537</v>
      </c>
      <c r="Y39" s="84">
        <v>2</v>
      </c>
      <c r="Z39" s="93">
        <v>43774.27042824074</v>
      </c>
      <c r="AA39" s="93">
        <v>43774.27042824074</v>
      </c>
      <c r="AB39" s="84"/>
      <c r="AC39" s="84"/>
      <c r="AD39" s="88" t="s">
        <v>1874</v>
      </c>
      <c r="AE39" s="86">
        <v>1</v>
      </c>
      <c r="AF39" s="87" t="str">
        <f>REPLACE(INDEX(GroupVertices[Group],MATCH(Edges[[#This Row],[Vertex 1]],GroupVertices[Vertex],0)),1,1,"")</f>
        <v>3</v>
      </c>
      <c r="AG39" s="87" t="str">
        <f>REPLACE(INDEX(GroupVertices[Group],MATCH(Edges[[#This Row],[Vertex 2]],GroupVertices[Vertex],0)),1,1,"")</f>
        <v>3</v>
      </c>
      <c r="AH39" s="105"/>
      <c r="AI39" s="105"/>
      <c r="AJ39" s="105"/>
      <c r="AK39" s="105"/>
      <c r="AL39" s="105"/>
      <c r="AM39" s="105"/>
      <c r="AN39" s="105"/>
      <c r="AO39" s="105"/>
      <c r="AP39" s="105"/>
    </row>
    <row r="40" spans="1:42" ht="15">
      <c r="A40" s="61" t="s">
        <v>262</v>
      </c>
      <c r="B40" s="61" t="s">
        <v>642</v>
      </c>
      <c r="C40" s="62" t="s">
        <v>2891</v>
      </c>
      <c r="D40" s="63">
        <v>5</v>
      </c>
      <c r="E40" s="62"/>
      <c r="F40" s="65">
        <v>25</v>
      </c>
      <c r="G40" s="62"/>
      <c r="H40" s="66"/>
      <c r="I40" s="67"/>
      <c r="J40" s="67"/>
      <c r="K40" s="31" t="s">
        <v>65</v>
      </c>
      <c r="L40" s="68">
        <v>40</v>
      </c>
      <c r="M40" s="68"/>
      <c r="N40" s="69"/>
      <c r="O40" s="84" t="s">
        <v>653</v>
      </c>
      <c r="P40" s="84" t="s">
        <v>215</v>
      </c>
      <c r="Q40" s="88" t="s">
        <v>691</v>
      </c>
      <c r="R40" s="84" t="s">
        <v>262</v>
      </c>
      <c r="S40" s="84" t="s">
        <v>1100</v>
      </c>
      <c r="T40" s="90" t="str">
        <f>HYPERLINK("http://www.youtube.com/channel/UCPPkB29U_lNgZe818Dp-xfw")</f>
        <v>http://www.youtube.com/channel/UCPPkB29U_lNgZe818Dp-xfw</v>
      </c>
      <c r="U40" s="84"/>
      <c r="V40" s="84" t="s">
        <v>1454</v>
      </c>
      <c r="W40" s="90" t="str">
        <f>HYPERLINK("https://www.youtube.com/watch?v=N26V8flGCIw")</f>
        <v>https://www.youtube.com/watch?v=N26V8flGCIw</v>
      </c>
      <c r="X40" s="84" t="s">
        <v>1537</v>
      </c>
      <c r="Y40" s="84">
        <v>1</v>
      </c>
      <c r="Z40" s="84" t="s">
        <v>1549</v>
      </c>
      <c r="AA40" s="84" t="s">
        <v>1549</v>
      </c>
      <c r="AB40" s="84"/>
      <c r="AC40" s="84"/>
      <c r="AD40" s="88" t="s">
        <v>1874</v>
      </c>
      <c r="AE40" s="86">
        <v>1</v>
      </c>
      <c r="AF40" s="87" t="str">
        <f>REPLACE(INDEX(GroupVertices[Group],MATCH(Edges[[#This Row],[Vertex 1]],GroupVertices[Vertex],0)),1,1,"")</f>
        <v>3</v>
      </c>
      <c r="AG40" s="87" t="str">
        <f>REPLACE(INDEX(GroupVertices[Group],MATCH(Edges[[#This Row],[Vertex 2]],GroupVertices[Vertex],0)),1,1,"")</f>
        <v>3</v>
      </c>
      <c r="AH40" s="105"/>
      <c r="AI40" s="105"/>
      <c r="AJ40" s="105"/>
      <c r="AK40" s="105"/>
      <c r="AL40" s="105"/>
      <c r="AM40" s="105"/>
      <c r="AN40" s="105"/>
      <c r="AO40" s="105"/>
      <c r="AP40" s="105"/>
    </row>
    <row r="41" spans="1:42" ht="15">
      <c r="A41" s="61" t="s">
        <v>263</v>
      </c>
      <c r="B41" s="61" t="s">
        <v>642</v>
      </c>
      <c r="C41" s="62" t="s">
        <v>2891</v>
      </c>
      <c r="D41" s="63">
        <v>5</v>
      </c>
      <c r="E41" s="62"/>
      <c r="F41" s="65">
        <v>25</v>
      </c>
      <c r="G41" s="62"/>
      <c r="H41" s="66"/>
      <c r="I41" s="67"/>
      <c r="J41" s="67"/>
      <c r="K41" s="31" t="s">
        <v>65</v>
      </c>
      <c r="L41" s="68">
        <v>41</v>
      </c>
      <c r="M41" s="68"/>
      <c r="N41" s="69"/>
      <c r="O41" s="84" t="s">
        <v>653</v>
      </c>
      <c r="P41" s="84" t="s">
        <v>215</v>
      </c>
      <c r="Q41" s="88" t="s">
        <v>692</v>
      </c>
      <c r="R41" s="84" t="s">
        <v>263</v>
      </c>
      <c r="S41" s="84" t="s">
        <v>1101</v>
      </c>
      <c r="T41" s="90" t="str">
        <f>HYPERLINK("http://www.youtube.com/channel/UC6TZ9xUe2FSnXGUC1bgfPdQ")</f>
        <v>http://www.youtube.com/channel/UC6TZ9xUe2FSnXGUC1bgfPdQ</v>
      </c>
      <c r="U41" s="84"/>
      <c r="V41" s="84" t="s">
        <v>1454</v>
      </c>
      <c r="W41" s="90" t="str">
        <f>HYPERLINK("https://www.youtube.com/watch?v=N26V8flGCIw")</f>
        <v>https://www.youtube.com/watch?v=N26V8flGCIw</v>
      </c>
      <c r="X41" s="84" t="s">
        <v>1537</v>
      </c>
      <c r="Y41" s="84">
        <v>0</v>
      </c>
      <c r="Z41" s="84" t="s">
        <v>1550</v>
      </c>
      <c r="AA41" s="84" t="s">
        <v>1550</v>
      </c>
      <c r="AB41" s="84"/>
      <c r="AC41" s="84"/>
      <c r="AD41" s="88" t="s">
        <v>1874</v>
      </c>
      <c r="AE41" s="86">
        <v>1</v>
      </c>
      <c r="AF41" s="87" t="str">
        <f>REPLACE(INDEX(GroupVertices[Group],MATCH(Edges[[#This Row],[Vertex 1]],GroupVertices[Vertex],0)),1,1,"")</f>
        <v>3</v>
      </c>
      <c r="AG41" s="87" t="str">
        <f>REPLACE(INDEX(GroupVertices[Group],MATCH(Edges[[#This Row],[Vertex 2]],GroupVertices[Vertex],0)),1,1,"")</f>
        <v>3</v>
      </c>
      <c r="AH41" s="105"/>
      <c r="AI41" s="105"/>
      <c r="AJ41" s="105"/>
      <c r="AK41" s="105"/>
      <c r="AL41" s="105"/>
      <c r="AM41" s="105"/>
      <c r="AN41" s="105"/>
      <c r="AO41" s="105"/>
      <c r="AP41" s="105"/>
    </row>
    <row r="42" spans="1:42" ht="15">
      <c r="A42" s="61" t="s">
        <v>264</v>
      </c>
      <c r="B42" s="61" t="s">
        <v>642</v>
      </c>
      <c r="C42" s="62" t="s">
        <v>2891</v>
      </c>
      <c r="D42" s="63">
        <v>5</v>
      </c>
      <c r="E42" s="62"/>
      <c r="F42" s="65">
        <v>25</v>
      </c>
      <c r="G42" s="62"/>
      <c r="H42" s="66"/>
      <c r="I42" s="67"/>
      <c r="J42" s="67"/>
      <c r="K42" s="31" t="s">
        <v>65</v>
      </c>
      <c r="L42" s="68">
        <v>42</v>
      </c>
      <c r="M42" s="68"/>
      <c r="N42" s="69"/>
      <c r="O42" s="84" t="s">
        <v>653</v>
      </c>
      <c r="P42" s="84" t="s">
        <v>215</v>
      </c>
      <c r="Q42" s="88" t="s">
        <v>693</v>
      </c>
      <c r="R42" s="84" t="s">
        <v>264</v>
      </c>
      <c r="S42" s="84" t="s">
        <v>1102</v>
      </c>
      <c r="T42" s="90" t="str">
        <f>HYPERLINK("http://www.youtube.com/channel/UCGHpBeASXblHkCziYGirKAA")</f>
        <v>http://www.youtube.com/channel/UCGHpBeASXblHkCziYGirKAA</v>
      </c>
      <c r="U42" s="84"/>
      <c r="V42" s="84" t="s">
        <v>1454</v>
      </c>
      <c r="W42" s="90" t="str">
        <f>HYPERLINK("https://www.youtube.com/watch?v=N26V8flGCIw")</f>
        <v>https://www.youtube.com/watch?v=N26V8flGCIw</v>
      </c>
      <c r="X42" s="84" t="s">
        <v>1537</v>
      </c>
      <c r="Y42" s="84">
        <v>0</v>
      </c>
      <c r="Z42" s="93">
        <v>43953.45018518518</v>
      </c>
      <c r="AA42" s="93">
        <v>43953.45018518518</v>
      </c>
      <c r="AB42" s="84"/>
      <c r="AC42" s="84"/>
      <c r="AD42" s="88" t="s">
        <v>1874</v>
      </c>
      <c r="AE42" s="86">
        <v>1</v>
      </c>
      <c r="AF42" s="87" t="str">
        <f>REPLACE(INDEX(GroupVertices[Group],MATCH(Edges[[#This Row],[Vertex 1]],GroupVertices[Vertex],0)),1,1,"")</f>
        <v>3</v>
      </c>
      <c r="AG42" s="87" t="str">
        <f>REPLACE(INDEX(GroupVertices[Group],MATCH(Edges[[#This Row],[Vertex 2]],GroupVertices[Vertex],0)),1,1,"")</f>
        <v>3</v>
      </c>
      <c r="AH42" s="105"/>
      <c r="AI42" s="105"/>
      <c r="AJ42" s="105"/>
      <c r="AK42" s="105"/>
      <c r="AL42" s="105"/>
      <c r="AM42" s="105"/>
      <c r="AN42" s="105"/>
      <c r="AO42" s="105"/>
      <c r="AP42" s="105"/>
    </row>
    <row r="43" spans="1:42" ht="15">
      <c r="A43" s="61" t="s">
        <v>265</v>
      </c>
      <c r="B43" s="61" t="s">
        <v>642</v>
      </c>
      <c r="C43" s="62" t="s">
        <v>2891</v>
      </c>
      <c r="D43" s="63">
        <v>5</v>
      </c>
      <c r="E43" s="62"/>
      <c r="F43" s="65">
        <v>25</v>
      </c>
      <c r="G43" s="62"/>
      <c r="H43" s="66"/>
      <c r="I43" s="67"/>
      <c r="J43" s="67"/>
      <c r="K43" s="31" t="s">
        <v>65</v>
      </c>
      <c r="L43" s="68">
        <v>43</v>
      </c>
      <c r="M43" s="68"/>
      <c r="N43" s="69"/>
      <c r="O43" s="84" t="s">
        <v>653</v>
      </c>
      <c r="P43" s="84" t="s">
        <v>215</v>
      </c>
      <c r="Q43" s="88" t="s">
        <v>694</v>
      </c>
      <c r="R43" s="84" t="s">
        <v>265</v>
      </c>
      <c r="S43" s="84" t="s">
        <v>1103</v>
      </c>
      <c r="T43" s="90" t="str">
        <f>HYPERLINK("http://www.youtube.com/channel/UCCFs1cpuTaFDUQcRXN7cDbA")</f>
        <v>http://www.youtube.com/channel/UCCFs1cpuTaFDUQcRXN7cDbA</v>
      </c>
      <c r="U43" s="84"/>
      <c r="V43" s="84" t="s">
        <v>1454</v>
      </c>
      <c r="W43" s="90" t="str">
        <f>HYPERLINK("https://www.youtube.com/watch?v=N26V8flGCIw")</f>
        <v>https://www.youtube.com/watch?v=N26V8flGCIw</v>
      </c>
      <c r="X43" s="84" t="s">
        <v>1537</v>
      </c>
      <c r="Y43" s="84">
        <v>0</v>
      </c>
      <c r="Z43" s="84" t="s">
        <v>1551</v>
      </c>
      <c r="AA43" s="84" t="s">
        <v>1551</v>
      </c>
      <c r="AB43" s="84"/>
      <c r="AC43" s="84"/>
      <c r="AD43" s="88" t="s">
        <v>1874</v>
      </c>
      <c r="AE43" s="86">
        <v>1</v>
      </c>
      <c r="AF43" s="87" t="str">
        <f>REPLACE(INDEX(GroupVertices[Group],MATCH(Edges[[#This Row],[Vertex 1]],GroupVertices[Vertex],0)),1,1,"")</f>
        <v>3</v>
      </c>
      <c r="AG43" s="87" t="str">
        <f>REPLACE(INDEX(GroupVertices[Group],MATCH(Edges[[#This Row],[Vertex 2]],GroupVertices[Vertex],0)),1,1,"")</f>
        <v>3</v>
      </c>
      <c r="AH43" s="105"/>
      <c r="AI43" s="105"/>
      <c r="AJ43" s="105"/>
      <c r="AK43" s="105"/>
      <c r="AL43" s="105"/>
      <c r="AM43" s="105"/>
      <c r="AN43" s="105"/>
      <c r="AO43" s="105"/>
      <c r="AP43" s="105"/>
    </row>
    <row r="44" spans="1:42" ht="15">
      <c r="A44" s="61" t="s">
        <v>266</v>
      </c>
      <c r="B44" s="61" t="s">
        <v>642</v>
      </c>
      <c r="C44" s="62" t="s">
        <v>2891</v>
      </c>
      <c r="D44" s="63">
        <v>5</v>
      </c>
      <c r="E44" s="62"/>
      <c r="F44" s="65">
        <v>25</v>
      </c>
      <c r="G44" s="62"/>
      <c r="H44" s="66"/>
      <c r="I44" s="67"/>
      <c r="J44" s="67"/>
      <c r="K44" s="31" t="s">
        <v>65</v>
      </c>
      <c r="L44" s="68">
        <v>44</v>
      </c>
      <c r="M44" s="68"/>
      <c r="N44" s="69"/>
      <c r="O44" s="84" t="s">
        <v>653</v>
      </c>
      <c r="P44" s="84" t="s">
        <v>215</v>
      </c>
      <c r="Q44" s="88" t="s">
        <v>695</v>
      </c>
      <c r="R44" s="84" t="s">
        <v>266</v>
      </c>
      <c r="S44" s="84" t="s">
        <v>1104</v>
      </c>
      <c r="T44" s="90" t="str">
        <f>HYPERLINK("http://www.youtube.com/channel/UCgUOUdLqn3b6qkaAeDZkj4g")</f>
        <v>http://www.youtube.com/channel/UCgUOUdLqn3b6qkaAeDZkj4g</v>
      </c>
      <c r="U44" s="84"/>
      <c r="V44" s="84" t="s">
        <v>1454</v>
      </c>
      <c r="W44" s="90" t="str">
        <f>HYPERLINK("https://www.youtube.com/watch?v=N26V8flGCIw")</f>
        <v>https://www.youtube.com/watch?v=N26V8flGCIw</v>
      </c>
      <c r="X44" s="84" t="s">
        <v>1537</v>
      </c>
      <c r="Y44" s="84">
        <v>0</v>
      </c>
      <c r="Z44" s="84" t="s">
        <v>1552</v>
      </c>
      <c r="AA44" s="84" t="s">
        <v>1552</v>
      </c>
      <c r="AB44" s="84"/>
      <c r="AC44" s="84"/>
      <c r="AD44" s="88" t="s">
        <v>1874</v>
      </c>
      <c r="AE44" s="86">
        <v>1</v>
      </c>
      <c r="AF44" s="87" t="str">
        <f>REPLACE(INDEX(GroupVertices[Group],MATCH(Edges[[#This Row],[Vertex 1]],GroupVertices[Vertex],0)),1,1,"")</f>
        <v>3</v>
      </c>
      <c r="AG44" s="87" t="str">
        <f>REPLACE(INDEX(GroupVertices[Group],MATCH(Edges[[#This Row],[Vertex 2]],GroupVertices[Vertex],0)),1,1,"")</f>
        <v>3</v>
      </c>
      <c r="AH44" s="105"/>
      <c r="AI44" s="105"/>
      <c r="AJ44" s="105"/>
      <c r="AK44" s="105"/>
      <c r="AL44" s="105"/>
      <c r="AM44" s="105"/>
      <c r="AN44" s="105"/>
      <c r="AO44" s="105"/>
      <c r="AP44" s="105"/>
    </row>
    <row r="45" spans="1:42" ht="15">
      <c r="A45" s="61" t="s">
        <v>267</v>
      </c>
      <c r="B45" s="61" t="s">
        <v>630</v>
      </c>
      <c r="C45" s="62" t="s">
        <v>2892</v>
      </c>
      <c r="D45" s="63">
        <v>5.833333333333333</v>
      </c>
      <c r="E45" s="62"/>
      <c r="F45" s="65">
        <v>15</v>
      </c>
      <c r="G45" s="62"/>
      <c r="H45" s="66"/>
      <c r="I45" s="67"/>
      <c r="J45" s="67"/>
      <c r="K45" s="31" t="s">
        <v>65</v>
      </c>
      <c r="L45" s="68">
        <v>45</v>
      </c>
      <c r="M45" s="68"/>
      <c r="N45" s="69"/>
      <c r="O45" s="84" t="s">
        <v>653</v>
      </c>
      <c r="P45" s="84" t="s">
        <v>215</v>
      </c>
      <c r="Q45" s="88" t="s">
        <v>696</v>
      </c>
      <c r="R45" s="84" t="s">
        <v>267</v>
      </c>
      <c r="S45" s="84" t="s">
        <v>1105</v>
      </c>
      <c r="T45" s="90" t="str">
        <f>HYPERLINK("http://www.youtube.com/channel/UC6ZVGBscqtypajabmP_MJjA")</f>
        <v>http://www.youtube.com/channel/UC6ZVGBscqtypajabmP_MJjA</v>
      </c>
      <c r="U45" s="84"/>
      <c r="V45" s="84" t="s">
        <v>1455</v>
      </c>
      <c r="W45" s="90" t="str">
        <f>HYPERLINK("https://www.youtube.com/watch?v=_4u8DyaykXI")</f>
        <v>https://www.youtube.com/watch?v=_4u8DyaykXI</v>
      </c>
      <c r="X45" s="84" t="s">
        <v>1537</v>
      </c>
      <c r="Y45" s="84">
        <v>1</v>
      </c>
      <c r="Z45" s="93">
        <v>42834.54903935185</v>
      </c>
      <c r="AA45" s="93">
        <v>42834.54903935185</v>
      </c>
      <c r="AB45" s="84" t="s">
        <v>1856</v>
      </c>
      <c r="AC45" s="84" t="s">
        <v>1871</v>
      </c>
      <c r="AD45" s="88" t="s">
        <v>1874</v>
      </c>
      <c r="AE45" s="86">
        <v>2</v>
      </c>
      <c r="AF45" s="87" t="str">
        <f>REPLACE(INDEX(GroupVertices[Group],MATCH(Edges[[#This Row],[Vertex 1]],GroupVertices[Vertex],0)),1,1,"")</f>
        <v>5</v>
      </c>
      <c r="AG45" s="87" t="str">
        <f>REPLACE(INDEX(GroupVertices[Group],MATCH(Edges[[#This Row],[Vertex 2]],GroupVertices[Vertex],0)),1,1,"")</f>
        <v>5</v>
      </c>
      <c r="AH45" s="105"/>
      <c r="AI45" s="105"/>
      <c r="AJ45" s="105"/>
      <c r="AK45" s="105"/>
      <c r="AL45" s="105"/>
      <c r="AM45" s="105"/>
      <c r="AN45" s="105"/>
      <c r="AO45" s="105"/>
      <c r="AP45" s="105"/>
    </row>
    <row r="46" spans="1:42" ht="15">
      <c r="A46" s="61" t="s">
        <v>267</v>
      </c>
      <c r="B46" s="61" t="s">
        <v>630</v>
      </c>
      <c r="C46" s="62" t="s">
        <v>2892</v>
      </c>
      <c r="D46" s="63">
        <v>5.833333333333333</v>
      </c>
      <c r="E46" s="62"/>
      <c r="F46" s="65">
        <v>15</v>
      </c>
      <c r="G46" s="62"/>
      <c r="H46" s="66"/>
      <c r="I46" s="67"/>
      <c r="J46" s="67"/>
      <c r="K46" s="31" t="s">
        <v>65</v>
      </c>
      <c r="L46" s="68">
        <v>46</v>
      </c>
      <c r="M46" s="68"/>
      <c r="N46" s="69"/>
      <c r="O46" s="84" t="s">
        <v>653</v>
      </c>
      <c r="P46" s="84" t="s">
        <v>215</v>
      </c>
      <c r="Q46" s="88" t="s">
        <v>697</v>
      </c>
      <c r="R46" s="84" t="s">
        <v>267</v>
      </c>
      <c r="S46" s="84" t="s">
        <v>1105</v>
      </c>
      <c r="T46" s="90" t="str">
        <f>HYPERLINK("http://www.youtube.com/channel/UC6ZVGBscqtypajabmP_MJjA")</f>
        <v>http://www.youtube.com/channel/UC6ZVGBscqtypajabmP_MJjA</v>
      </c>
      <c r="U46" s="84"/>
      <c r="V46" s="84" t="s">
        <v>1455</v>
      </c>
      <c r="W46" s="90" t="str">
        <f>HYPERLINK("https://www.youtube.com/watch?v=_4u8DyaykXI")</f>
        <v>https://www.youtube.com/watch?v=_4u8DyaykXI</v>
      </c>
      <c r="X46" s="84" t="s">
        <v>1537</v>
      </c>
      <c r="Y46" s="84">
        <v>0</v>
      </c>
      <c r="Z46" s="93">
        <v>42834.56685185185</v>
      </c>
      <c r="AA46" s="93">
        <v>42834.56685185185</v>
      </c>
      <c r="AB46" s="84"/>
      <c r="AC46" s="84"/>
      <c r="AD46" s="88" t="s">
        <v>1874</v>
      </c>
      <c r="AE46" s="86">
        <v>2</v>
      </c>
      <c r="AF46" s="87" t="str">
        <f>REPLACE(INDEX(GroupVertices[Group],MATCH(Edges[[#This Row],[Vertex 1]],GroupVertices[Vertex],0)),1,1,"")</f>
        <v>5</v>
      </c>
      <c r="AG46" s="87" t="str">
        <f>REPLACE(INDEX(GroupVertices[Group],MATCH(Edges[[#This Row],[Vertex 2]],GroupVertices[Vertex],0)),1,1,"")</f>
        <v>5</v>
      </c>
      <c r="AH46" s="105"/>
      <c r="AI46" s="105"/>
      <c r="AJ46" s="105"/>
      <c r="AK46" s="105"/>
      <c r="AL46" s="105"/>
      <c r="AM46" s="105"/>
      <c r="AN46" s="105"/>
      <c r="AO46" s="105"/>
      <c r="AP46" s="105"/>
    </row>
    <row r="47" spans="1:42" ht="15">
      <c r="A47" s="61" t="s">
        <v>268</v>
      </c>
      <c r="B47" s="61" t="s">
        <v>630</v>
      </c>
      <c r="C47" s="62" t="s">
        <v>2891</v>
      </c>
      <c r="D47" s="63">
        <v>5</v>
      </c>
      <c r="E47" s="62"/>
      <c r="F47" s="65">
        <v>25</v>
      </c>
      <c r="G47" s="62"/>
      <c r="H47" s="66"/>
      <c r="I47" s="67"/>
      <c r="J47" s="67"/>
      <c r="K47" s="31" t="s">
        <v>65</v>
      </c>
      <c r="L47" s="68">
        <v>47</v>
      </c>
      <c r="M47" s="68"/>
      <c r="N47" s="69"/>
      <c r="O47" s="84" t="s">
        <v>653</v>
      </c>
      <c r="P47" s="84" t="s">
        <v>215</v>
      </c>
      <c r="Q47" s="88" t="s">
        <v>698</v>
      </c>
      <c r="R47" s="84" t="s">
        <v>268</v>
      </c>
      <c r="S47" s="84" t="s">
        <v>1106</v>
      </c>
      <c r="T47" s="90" t="str">
        <f>HYPERLINK("http://www.youtube.com/channel/UCGsDSqEabT1UvQWokuhfMaA")</f>
        <v>http://www.youtube.com/channel/UCGsDSqEabT1UvQWokuhfMaA</v>
      </c>
      <c r="U47" s="84"/>
      <c r="V47" s="84" t="s">
        <v>1455</v>
      </c>
      <c r="W47" s="90" t="str">
        <f>HYPERLINK("https://www.youtube.com/watch?v=_4u8DyaykXI")</f>
        <v>https://www.youtube.com/watch?v=_4u8DyaykXI</v>
      </c>
      <c r="X47" s="84" t="s">
        <v>1537</v>
      </c>
      <c r="Y47" s="84">
        <v>0</v>
      </c>
      <c r="Z47" s="93">
        <v>42864.5531712963</v>
      </c>
      <c r="AA47" s="93">
        <v>42864.5531712963</v>
      </c>
      <c r="AB47" s="84" t="s">
        <v>1857</v>
      </c>
      <c r="AC47" s="84" t="s">
        <v>1869</v>
      </c>
      <c r="AD47" s="88" t="s">
        <v>1874</v>
      </c>
      <c r="AE47" s="86">
        <v>1</v>
      </c>
      <c r="AF47" s="87" t="str">
        <f>REPLACE(INDEX(GroupVertices[Group],MATCH(Edges[[#This Row],[Vertex 1]],GroupVertices[Vertex],0)),1,1,"")</f>
        <v>5</v>
      </c>
      <c r="AG47" s="87" t="str">
        <f>REPLACE(INDEX(GroupVertices[Group],MATCH(Edges[[#This Row],[Vertex 2]],GroupVertices[Vertex],0)),1,1,"")</f>
        <v>5</v>
      </c>
      <c r="AH47" s="105"/>
      <c r="AI47" s="105"/>
      <c r="AJ47" s="105"/>
      <c r="AK47" s="105"/>
      <c r="AL47" s="105"/>
      <c r="AM47" s="105"/>
      <c r="AN47" s="105"/>
      <c r="AO47" s="105"/>
      <c r="AP47" s="105"/>
    </row>
    <row r="48" spans="1:42" ht="15">
      <c r="A48" s="61" t="s">
        <v>269</v>
      </c>
      <c r="B48" s="61" t="s">
        <v>609</v>
      </c>
      <c r="C48" s="62" t="s">
        <v>2891</v>
      </c>
      <c r="D48" s="63">
        <v>5</v>
      </c>
      <c r="E48" s="62"/>
      <c r="F48" s="65">
        <v>25</v>
      </c>
      <c r="G48" s="62"/>
      <c r="H48" s="66"/>
      <c r="I48" s="67"/>
      <c r="J48" s="67"/>
      <c r="K48" s="31" t="s">
        <v>65</v>
      </c>
      <c r="L48" s="68">
        <v>48</v>
      </c>
      <c r="M48" s="68"/>
      <c r="N48" s="69"/>
      <c r="O48" s="84" t="s">
        <v>653</v>
      </c>
      <c r="P48" s="84" t="s">
        <v>215</v>
      </c>
      <c r="Q48" s="88" t="s">
        <v>699</v>
      </c>
      <c r="R48" s="84" t="s">
        <v>269</v>
      </c>
      <c r="S48" s="84" t="s">
        <v>1107</v>
      </c>
      <c r="T48" s="90" t="str">
        <f>HYPERLINK("http://www.youtube.com/channel/UC4mWQROUZJVPXNCEARxkNZA")</f>
        <v>http://www.youtube.com/channel/UC4mWQROUZJVPXNCEARxkNZA</v>
      </c>
      <c r="U48" s="84"/>
      <c r="V48" s="84" t="s">
        <v>1456</v>
      </c>
      <c r="W48" s="90" t="str">
        <f>HYPERLINK("https://www.youtube.com/watch?v=aK9RxQwdsxc")</f>
        <v>https://www.youtube.com/watch?v=aK9RxQwdsxc</v>
      </c>
      <c r="X48" s="84" t="s">
        <v>1537</v>
      </c>
      <c r="Y48" s="84">
        <v>2</v>
      </c>
      <c r="Z48" s="93">
        <v>44145.01909722222</v>
      </c>
      <c r="AA48" s="93">
        <v>44145.01909722222</v>
      </c>
      <c r="AB48" s="84"/>
      <c r="AC48" s="84"/>
      <c r="AD48" s="88" t="s">
        <v>1874</v>
      </c>
      <c r="AE48" s="86">
        <v>1</v>
      </c>
      <c r="AF48" s="87" t="str">
        <f>REPLACE(INDEX(GroupVertices[Group],MATCH(Edges[[#This Row],[Vertex 1]],GroupVertices[Vertex],0)),1,1,"")</f>
        <v>22</v>
      </c>
      <c r="AG48" s="87" t="str">
        <f>REPLACE(INDEX(GroupVertices[Group],MATCH(Edges[[#This Row],[Vertex 2]],GroupVertices[Vertex],0)),1,1,"")</f>
        <v>22</v>
      </c>
      <c r="AH48" s="105"/>
      <c r="AI48" s="105"/>
      <c r="AJ48" s="105"/>
      <c r="AK48" s="105"/>
      <c r="AL48" s="105"/>
      <c r="AM48" s="105"/>
      <c r="AN48" s="105"/>
      <c r="AO48" s="105"/>
      <c r="AP48" s="105"/>
    </row>
    <row r="49" spans="1:42" ht="15">
      <c r="A49" s="61" t="s">
        <v>270</v>
      </c>
      <c r="B49" s="61" t="s">
        <v>642</v>
      </c>
      <c r="C49" s="62" t="s">
        <v>2891</v>
      </c>
      <c r="D49" s="63">
        <v>5</v>
      </c>
      <c r="E49" s="62"/>
      <c r="F49" s="65">
        <v>25</v>
      </c>
      <c r="G49" s="62"/>
      <c r="H49" s="66"/>
      <c r="I49" s="67"/>
      <c r="J49" s="67"/>
      <c r="K49" s="31" t="s">
        <v>65</v>
      </c>
      <c r="L49" s="68">
        <v>49</v>
      </c>
      <c r="M49" s="68"/>
      <c r="N49" s="69"/>
      <c r="O49" s="84" t="s">
        <v>653</v>
      </c>
      <c r="P49" s="84" t="s">
        <v>215</v>
      </c>
      <c r="Q49" s="88" t="s">
        <v>700</v>
      </c>
      <c r="R49" s="84" t="s">
        <v>270</v>
      </c>
      <c r="S49" s="84" t="s">
        <v>1108</v>
      </c>
      <c r="T49" s="90" t="str">
        <f>HYPERLINK("http://www.youtube.com/channel/UC4_kPHzxL9msQlQCMFLVsDA")</f>
        <v>http://www.youtube.com/channel/UC4_kPHzxL9msQlQCMFLVsDA</v>
      </c>
      <c r="U49" s="84"/>
      <c r="V49" s="84" t="s">
        <v>1457</v>
      </c>
      <c r="W49" s="90" t="str">
        <f>HYPERLINK("https://www.youtube.com/watch?v=aVwsVbiFJZU")</f>
        <v>https://www.youtube.com/watch?v=aVwsVbiFJZU</v>
      </c>
      <c r="X49" s="84" t="s">
        <v>1537</v>
      </c>
      <c r="Y49" s="84">
        <v>6</v>
      </c>
      <c r="Z49" s="93">
        <v>43803.705717592595</v>
      </c>
      <c r="AA49" s="93">
        <v>43803.705717592595</v>
      </c>
      <c r="AB49" s="84"/>
      <c r="AC49" s="84"/>
      <c r="AD49" s="88" t="s">
        <v>1874</v>
      </c>
      <c r="AE49" s="86">
        <v>1</v>
      </c>
      <c r="AF49" s="87" t="str">
        <f>REPLACE(INDEX(GroupVertices[Group],MATCH(Edges[[#This Row],[Vertex 1]],GroupVertices[Vertex],0)),1,1,"")</f>
        <v>3</v>
      </c>
      <c r="AG49" s="87" t="str">
        <f>REPLACE(INDEX(GroupVertices[Group],MATCH(Edges[[#This Row],[Vertex 2]],GroupVertices[Vertex],0)),1,1,"")</f>
        <v>3</v>
      </c>
      <c r="AH49" s="105"/>
      <c r="AI49" s="105"/>
      <c r="AJ49" s="105"/>
      <c r="AK49" s="105"/>
      <c r="AL49" s="105"/>
      <c r="AM49" s="105"/>
      <c r="AN49" s="105"/>
      <c r="AO49" s="105"/>
      <c r="AP49" s="105"/>
    </row>
    <row r="50" spans="1:42" ht="15">
      <c r="A50" s="61" t="s">
        <v>271</v>
      </c>
      <c r="B50" s="61" t="s">
        <v>622</v>
      </c>
      <c r="C50" s="62" t="s">
        <v>2891</v>
      </c>
      <c r="D50" s="63">
        <v>5</v>
      </c>
      <c r="E50" s="62"/>
      <c r="F50" s="65">
        <v>25</v>
      </c>
      <c r="G50" s="62"/>
      <c r="H50" s="66"/>
      <c r="I50" s="67"/>
      <c r="J50" s="67"/>
      <c r="K50" s="31" t="s">
        <v>65</v>
      </c>
      <c r="L50" s="68">
        <v>50</v>
      </c>
      <c r="M50" s="68"/>
      <c r="N50" s="69"/>
      <c r="O50" s="84" t="s">
        <v>653</v>
      </c>
      <c r="P50" s="84" t="s">
        <v>215</v>
      </c>
      <c r="Q50" s="88" t="s">
        <v>701</v>
      </c>
      <c r="R50" s="84" t="s">
        <v>271</v>
      </c>
      <c r="S50" s="84" t="s">
        <v>1109</v>
      </c>
      <c r="T50" s="90" t="str">
        <f>HYPERLINK("http://www.youtube.com/channel/UCKSbx6lNcMvT5esoEADAlDw")</f>
        <v>http://www.youtube.com/channel/UCKSbx6lNcMvT5esoEADAlDw</v>
      </c>
      <c r="U50" s="84"/>
      <c r="V50" s="84" t="s">
        <v>1458</v>
      </c>
      <c r="W50" s="90" t="str">
        <f>HYPERLINK("https://www.youtube.com/watch?v=vRHHbTppzg8")</f>
        <v>https://www.youtube.com/watch?v=vRHHbTppzg8</v>
      </c>
      <c r="X50" s="84" t="s">
        <v>1537</v>
      </c>
      <c r="Y50" s="84">
        <v>0</v>
      </c>
      <c r="Z50" s="84" t="s">
        <v>1553</v>
      </c>
      <c r="AA50" s="84" t="s">
        <v>1553</v>
      </c>
      <c r="AB50" s="84"/>
      <c r="AC50" s="84"/>
      <c r="AD50" s="88" t="s">
        <v>1874</v>
      </c>
      <c r="AE50" s="86">
        <v>1</v>
      </c>
      <c r="AF50" s="87" t="str">
        <f>REPLACE(INDEX(GroupVertices[Group],MATCH(Edges[[#This Row],[Vertex 1]],GroupVertices[Vertex],0)),1,1,"")</f>
        <v>10</v>
      </c>
      <c r="AG50" s="87" t="str">
        <f>REPLACE(INDEX(GroupVertices[Group],MATCH(Edges[[#This Row],[Vertex 2]],GroupVertices[Vertex],0)),1,1,"")</f>
        <v>10</v>
      </c>
      <c r="AH50" s="105"/>
      <c r="AI50" s="105"/>
      <c r="AJ50" s="105"/>
      <c r="AK50" s="105"/>
      <c r="AL50" s="105"/>
      <c r="AM50" s="105"/>
      <c r="AN50" s="105"/>
      <c r="AO50" s="105"/>
      <c r="AP50" s="105"/>
    </row>
    <row r="51" spans="1:42" ht="15">
      <c r="A51" s="61" t="s">
        <v>272</v>
      </c>
      <c r="B51" s="61" t="s">
        <v>622</v>
      </c>
      <c r="C51" s="62" t="s">
        <v>2891</v>
      </c>
      <c r="D51" s="63">
        <v>5</v>
      </c>
      <c r="E51" s="62"/>
      <c r="F51" s="65">
        <v>25</v>
      </c>
      <c r="G51" s="62"/>
      <c r="H51" s="66"/>
      <c r="I51" s="67"/>
      <c r="J51" s="67"/>
      <c r="K51" s="31" t="s">
        <v>65</v>
      </c>
      <c r="L51" s="68">
        <v>51</v>
      </c>
      <c r="M51" s="68"/>
      <c r="N51" s="69"/>
      <c r="O51" s="84" t="s">
        <v>653</v>
      </c>
      <c r="P51" s="84" t="s">
        <v>215</v>
      </c>
      <c r="Q51" s="88" t="s">
        <v>702</v>
      </c>
      <c r="R51" s="84" t="s">
        <v>272</v>
      </c>
      <c r="S51" s="84" t="s">
        <v>1110</v>
      </c>
      <c r="T51" s="90" t="str">
        <f>HYPERLINK("http://www.youtube.com/channel/UCybLfpPKeh56DfJQPrmAPzg")</f>
        <v>http://www.youtube.com/channel/UCybLfpPKeh56DfJQPrmAPzg</v>
      </c>
      <c r="U51" s="84"/>
      <c r="V51" s="84" t="s">
        <v>1458</v>
      </c>
      <c r="W51" s="90" t="str">
        <f>HYPERLINK("https://www.youtube.com/watch?v=vRHHbTppzg8")</f>
        <v>https://www.youtube.com/watch?v=vRHHbTppzg8</v>
      </c>
      <c r="X51" s="84" t="s">
        <v>1537</v>
      </c>
      <c r="Y51" s="84">
        <v>0</v>
      </c>
      <c r="Z51" s="93">
        <v>44562.440358796295</v>
      </c>
      <c r="AA51" s="93">
        <v>44562.440358796295</v>
      </c>
      <c r="AB51" s="84"/>
      <c r="AC51" s="84"/>
      <c r="AD51" s="88" t="s">
        <v>1874</v>
      </c>
      <c r="AE51" s="86">
        <v>1</v>
      </c>
      <c r="AF51" s="87" t="str">
        <f>REPLACE(INDEX(GroupVertices[Group],MATCH(Edges[[#This Row],[Vertex 1]],GroupVertices[Vertex],0)),1,1,"")</f>
        <v>10</v>
      </c>
      <c r="AG51" s="87" t="str">
        <f>REPLACE(INDEX(GroupVertices[Group],MATCH(Edges[[#This Row],[Vertex 2]],GroupVertices[Vertex],0)),1,1,"")</f>
        <v>10</v>
      </c>
      <c r="AH51" s="105"/>
      <c r="AI51" s="105"/>
      <c r="AJ51" s="105"/>
      <c r="AK51" s="105"/>
      <c r="AL51" s="105"/>
      <c r="AM51" s="105"/>
      <c r="AN51" s="105"/>
      <c r="AO51" s="105"/>
      <c r="AP51" s="105"/>
    </row>
    <row r="52" spans="1:42" ht="15">
      <c r="A52" s="61" t="s">
        <v>273</v>
      </c>
      <c r="B52" s="61" t="s">
        <v>614</v>
      </c>
      <c r="C52" s="62" t="s">
        <v>2891</v>
      </c>
      <c r="D52" s="63">
        <v>5</v>
      </c>
      <c r="E52" s="62"/>
      <c r="F52" s="65">
        <v>25</v>
      </c>
      <c r="G52" s="62"/>
      <c r="H52" s="66"/>
      <c r="I52" s="67"/>
      <c r="J52" s="67"/>
      <c r="K52" s="31" t="s">
        <v>65</v>
      </c>
      <c r="L52" s="68">
        <v>52</v>
      </c>
      <c r="M52" s="68"/>
      <c r="N52" s="69"/>
      <c r="O52" s="84" t="s">
        <v>653</v>
      </c>
      <c r="P52" s="84" t="s">
        <v>215</v>
      </c>
      <c r="Q52" s="88" t="s">
        <v>703</v>
      </c>
      <c r="R52" s="84" t="s">
        <v>273</v>
      </c>
      <c r="S52" s="84" t="s">
        <v>1111</v>
      </c>
      <c r="T52" s="90" t="str">
        <f>HYPERLINK("http://www.youtube.com/channel/UCboW-6Dhq34vMlhoRWDUazw")</f>
        <v>http://www.youtube.com/channel/UCboW-6Dhq34vMlhoRWDUazw</v>
      </c>
      <c r="U52" s="84"/>
      <c r="V52" s="84" t="s">
        <v>1459</v>
      </c>
      <c r="W52" s="90" t="str">
        <f>HYPERLINK("https://www.youtube.com/watch?v=g-uBNYawlxU")</f>
        <v>https://www.youtube.com/watch?v=g-uBNYawlxU</v>
      </c>
      <c r="X52" s="84" t="s">
        <v>1537</v>
      </c>
      <c r="Y52" s="84">
        <v>3</v>
      </c>
      <c r="Z52" s="84" t="s">
        <v>1554</v>
      </c>
      <c r="AA52" s="84" t="s">
        <v>1554</v>
      </c>
      <c r="AB52" s="84"/>
      <c r="AC52" s="84"/>
      <c r="AD52" s="88" t="s">
        <v>1874</v>
      </c>
      <c r="AE52" s="86">
        <v>1</v>
      </c>
      <c r="AF52" s="87" t="str">
        <f>REPLACE(INDEX(GroupVertices[Group],MATCH(Edges[[#This Row],[Vertex 1]],GroupVertices[Vertex],0)),1,1,"")</f>
        <v>4</v>
      </c>
      <c r="AG52" s="87" t="str">
        <f>REPLACE(INDEX(GroupVertices[Group],MATCH(Edges[[#This Row],[Vertex 2]],GroupVertices[Vertex],0)),1,1,"")</f>
        <v>4</v>
      </c>
      <c r="AH52" s="105"/>
      <c r="AI52" s="105"/>
      <c r="AJ52" s="105"/>
      <c r="AK52" s="105"/>
      <c r="AL52" s="105"/>
      <c r="AM52" s="105"/>
      <c r="AN52" s="105"/>
      <c r="AO52" s="105"/>
      <c r="AP52" s="105"/>
    </row>
    <row r="53" spans="1:42" ht="15">
      <c r="A53" s="61" t="s">
        <v>274</v>
      </c>
      <c r="B53" s="61" t="s">
        <v>614</v>
      </c>
      <c r="C53" s="62" t="s">
        <v>2891</v>
      </c>
      <c r="D53" s="63">
        <v>5</v>
      </c>
      <c r="E53" s="62"/>
      <c r="F53" s="65">
        <v>25</v>
      </c>
      <c r="G53" s="62"/>
      <c r="H53" s="66"/>
      <c r="I53" s="67"/>
      <c r="J53" s="67"/>
      <c r="K53" s="31" t="s">
        <v>65</v>
      </c>
      <c r="L53" s="68">
        <v>53</v>
      </c>
      <c r="M53" s="68"/>
      <c r="N53" s="69"/>
      <c r="O53" s="84" t="s">
        <v>653</v>
      </c>
      <c r="P53" s="84" t="s">
        <v>215</v>
      </c>
      <c r="Q53" s="88" t="s">
        <v>704</v>
      </c>
      <c r="R53" s="84" t="s">
        <v>274</v>
      </c>
      <c r="S53" s="84" t="s">
        <v>1112</v>
      </c>
      <c r="T53" s="90" t="str">
        <f>HYPERLINK("http://www.youtube.com/channel/UCwxYY9Aa1wnn7ENO-TMs1Cw")</f>
        <v>http://www.youtube.com/channel/UCwxYY9Aa1wnn7ENO-TMs1Cw</v>
      </c>
      <c r="U53" s="84"/>
      <c r="V53" s="84" t="s">
        <v>1459</v>
      </c>
      <c r="W53" s="90" t="str">
        <f>HYPERLINK("https://www.youtube.com/watch?v=g-uBNYawlxU")</f>
        <v>https://www.youtube.com/watch?v=g-uBNYawlxU</v>
      </c>
      <c r="X53" s="84" t="s">
        <v>1537</v>
      </c>
      <c r="Y53" s="84">
        <v>22</v>
      </c>
      <c r="Z53" s="84" t="s">
        <v>1555</v>
      </c>
      <c r="AA53" s="84" t="s">
        <v>1555</v>
      </c>
      <c r="AB53" s="84"/>
      <c r="AC53" s="84"/>
      <c r="AD53" s="88" t="s">
        <v>1874</v>
      </c>
      <c r="AE53" s="86">
        <v>1</v>
      </c>
      <c r="AF53" s="87" t="str">
        <f>REPLACE(INDEX(GroupVertices[Group],MATCH(Edges[[#This Row],[Vertex 1]],GroupVertices[Vertex],0)),1,1,"")</f>
        <v>4</v>
      </c>
      <c r="AG53" s="87" t="str">
        <f>REPLACE(INDEX(GroupVertices[Group],MATCH(Edges[[#This Row],[Vertex 2]],GroupVertices[Vertex],0)),1,1,"")</f>
        <v>4</v>
      </c>
      <c r="AH53" s="105"/>
      <c r="AI53" s="105"/>
      <c r="AJ53" s="105"/>
      <c r="AK53" s="105"/>
      <c r="AL53" s="105"/>
      <c r="AM53" s="105"/>
      <c r="AN53" s="105"/>
      <c r="AO53" s="105"/>
      <c r="AP53" s="105"/>
    </row>
    <row r="54" spans="1:42" ht="15">
      <c r="A54" s="61" t="s">
        <v>275</v>
      </c>
      <c r="B54" s="61" t="s">
        <v>614</v>
      </c>
      <c r="C54" s="62" t="s">
        <v>2891</v>
      </c>
      <c r="D54" s="63">
        <v>5</v>
      </c>
      <c r="E54" s="62"/>
      <c r="F54" s="65">
        <v>25</v>
      </c>
      <c r="G54" s="62"/>
      <c r="H54" s="66"/>
      <c r="I54" s="67"/>
      <c r="J54" s="67"/>
      <c r="K54" s="31" t="s">
        <v>65</v>
      </c>
      <c r="L54" s="68">
        <v>54</v>
      </c>
      <c r="M54" s="68"/>
      <c r="N54" s="69"/>
      <c r="O54" s="84" t="s">
        <v>653</v>
      </c>
      <c r="P54" s="84" t="s">
        <v>215</v>
      </c>
      <c r="Q54" s="88" t="s">
        <v>705</v>
      </c>
      <c r="R54" s="84" t="s">
        <v>275</v>
      </c>
      <c r="S54" s="84" t="s">
        <v>1113</v>
      </c>
      <c r="T54" s="90" t="str">
        <f>HYPERLINK("http://www.youtube.com/channel/UCpDMjexIM1Fs2QwTzRXiUEg")</f>
        <v>http://www.youtube.com/channel/UCpDMjexIM1Fs2QwTzRXiUEg</v>
      </c>
      <c r="U54" s="84"/>
      <c r="V54" s="84" t="s">
        <v>1459</v>
      </c>
      <c r="W54" s="90" t="str">
        <f>HYPERLINK("https://www.youtube.com/watch?v=g-uBNYawlxU")</f>
        <v>https://www.youtube.com/watch?v=g-uBNYawlxU</v>
      </c>
      <c r="X54" s="84" t="s">
        <v>1537</v>
      </c>
      <c r="Y54" s="84">
        <v>1</v>
      </c>
      <c r="Z54" s="84" t="s">
        <v>1556</v>
      </c>
      <c r="AA54" s="84" t="s">
        <v>1556</v>
      </c>
      <c r="AB54" s="84"/>
      <c r="AC54" s="84"/>
      <c r="AD54" s="88" t="s">
        <v>1874</v>
      </c>
      <c r="AE54" s="86">
        <v>1</v>
      </c>
      <c r="AF54" s="87" t="str">
        <f>REPLACE(INDEX(GroupVertices[Group],MATCH(Edges[[#This Row],[Vertex 1]],GroupVertices[Vertex],0)),1,1,"")</f>
        <v>4</v>
      </c>
      <c r="AG54" s="87" t="str">
        <f>REPLACE(INDEX(GroupVertices[Group],MATCH(Edges[[#This Row],[Vertex 2]],GroupVertices[Vertex],0)),1,1,"")</f>
        <v>4</v>
      </c>
      <c r="AH54" s="105"/>
      <c r="AI54" s="105"/>
      <c r="AJ54" s="105"/>
      <c r="AK54" s="105"/>
      <c r="AL54" s="105"/>
      <c r="AM54" s="105"/>
      <c r="AN54" s="105"/>
      <c r="AO54" s="105"/>
      <c r="AP54" s="105"/>
    </row>
    <row r="55" spans="1:42" ht="15">
      <c r="A55" s="61" t="s">
        <v>276</v>
      </c>
      <c r="B55" s="61" t="s">
        <v>614</v>
      </c>
      <c r="C55" s="62" t="s">
        <v>2891</v>
      </c>
      <c r="D55" s="63">
        <v>5</v>
      </c>
      <c r="E55" s="62"/>
      <c r="F55" s="65">
        <v>25</v>
      </c>
      <c r="G55" s="62"/>
      <c r="H55" s="66"/>
      <c r="I55" s="67"/>
      <c r="J55" s="67"/>
      <c r="K55" s="31" t="s">
        <v>65</v>
      </c>
      <c r="L55" s="68">
        <v>55</v>
      </c>
      <c r="M55" s="68"/>
      <c r="N55" s="69"/>
      <c r="O55" s="84" t="s">
        <v>653</v>
      </c>
      <c r="P55" s="84" t="s">
        <v>215</v>
      </c>
      <c r="Q55" s="88" t="s">
        <v>706</v>
      </c>
      <c r="R55" s="84" t="s">
        <v>276</v>
      </c>
      <c r="S55" s="84" t="s">
        <v>1114</v>
      </c>
      <c r="T55" s="90" t="str">
        <f>HYPERLINK("http://www.youtube.com/channel/UCt_JtyPqPReLXqUjXEMFY9w")</f>
        <v>http://www.youtube.com/channel/UCt_JtyPqPReLXqUjXEMFY9w</v>
      </c>
      <c r="U55" s="84"/>
      <c r="V55" s="84" t="s">
        <v>1459</v>
      </c>
      <c r="W55" s="90" t="str">
        <f>HYPERLINK("https://www.youtube.com/watch?v=g-uBNYawlxU")</f>
        <v>https://www.youtube.com/watch?v=g-uBNYawlxU</v>
      </c>
      <c r="X55" s="84" t="s">
        <v>1537</v>
      </c>
      <c r="Y55" s="84">
        <v>1</v>
      </c>
      <c r="Z55" s="84" t="s">
        <v>1557</v>
      </c>
      <c r="AA55" s="84" t="s">
        <v>1557</v>
      </c>
      <c r="AB55" s="84"/>
      <c r="AC55" s="84"/>
      <c r="AD55" s="88" t="s">
        <v>1874</v>
      </c>
      <c r="AE55" s="86">
        <v>1</v>
      </c>
      <c r="AF55" s="87" t="str">
        <f>REPLACE(INDEX(GroupVertices[Group],MATCH(Edges[[#This Row],[Vertex 1]],GroupVertices[Vertex],0)),1,1,"")</f>
        <v>4</v>
      </c>
      <c r="AG55" s="87" t="str">
        <f>REPLACE(INDEX(GroupVertices[Group],MATCH(Edges[[#This Row],[Vertex 2]],GroupVertices[Vertex],0)),1,1,"")</f>
        <v>4</v>
      </c>
      <c r="AH55" s="105"/>
      <c r="AI55" s="105"/>
      <c r="AJ55" s="105"/>
      <c r="AK55" s="105"/>
      <c r="AL55" s="105"/>
      <c r="AM55" s="105"/>
      <c r="AN55" s="105"/>
      <c r="AO55" s="105"/>
      <c r="AP55" s="105"/>
    </row>
    <row r="56" spans="1:42" ht="15">
      <c r="A56" s="61" t="s">
        <v>277</v>
      </c>
      <c r="B56" s="61" t="s">
        <v>614</v>
      </c>
      <c r="C56" s="62" t="s">
        <v>2891</v>
      </c>
      <c r="D56" s="63">
        <v>5</v>
      </c>
      <c r="E56" s="62"/>
      <c r="F56" s="65">
        <v>25</v>
      </c>
      <c r="G56" s="62"/>
      <c r="H56" s="66"/>
      <c r="I56" s="67"/>
      <c r="J56" s="67"/>
      <c r="K56" s="31" t="s">
        <v>65</v>
      </c>
      <c r="L56" s="68">
        <v>56</v>
      </c>
      <c r="M56" s="68"/>
      <c r="N56" s="69"/>
      <c r="O56" s="84" t="s">
        <v>653</v>
      </c>
      <c r="P56" s="84" t="s">
        <v>215</v>
      </c>
      <c r="Q56" s="88" t="s">
        <v>707</v>
      </c>
      <c r="R56" s="84" t="s">
        <v>277</v>
      </c>
      <c r="S56" s="84" t="s">
        <v>1115</v>
      </c>
      <c r="T56" s="90" t="str">
        <f>HYPERLINK("http://www.youtube.com/channel/UCdx3jSeo4KNSXS4bBXIah2w")</f>
        <v>http://www.youtube.com/channel/UCdx3jSeo4KNSXS4bBXIah2w</v>
      </c>
      <c r="U56" s="84"/>
      <c r="V56" s="84" t="s">
        <v>1459</v>
      </c>
      <c r="W56" s="90" t="str">
        <f>HYPERLINK("https://www.youtube.com/watch?v=g-uBNYawlxU")</f>
        <v>https://www.youtube.com/watch?v=g-uBNYawlxU</v>
      </c>
      <c r="X56" s="84" t="s">
        <v>1537</v>
      </c>
      <c r="Y56" s="84">
        <v>6</v>
      </c>
      <c r="Z56" s="84" t="s">
        <v>1558</v>
      </c>
      <c r="AA56" s="84" t="s">
        <v>1558</v>
      </c>
      <c r="AB56" s="84"/>
      <c r="AC56" s="84"/>
      <c r="AD56" s="88" t="s">
        <v>1874</v>
      </c>
      <c r="AE56" s="86">
        <v>1</v>
      </c>
      <c r="AF56" s="87" t="str">
        <f>REPLACE(INDEX(GroupVertices[Group],MATCH(Edges[[#This Row],[Vertex 1]],GroupVertices[Vertex],0)),1,1,"")</f>
        <v>4</v>
      </c>
      <c r="AG56" s="87" t="str">
        <f>REPLACE(INDEX(GroupVertices[Group],MATCH(Edges[[#This Row],[Vertex 2]],GroupVertices[Vertex],0)),1,1,"")</f>
        <v>4</v>
      </c>
      <c r="AH56" s="105"/>
      <c r="AI56" s="105"/>
      <c r="AJ56" s="105"/>
      <c r="AK56" s="105"/>
      <c r="AL56" s="105"/>
      <c r="AM56" s="105"/>
      <c r="AN56" s="105"/>
      <c r="AO56" s="105"/>
      <c r="AP56" s="105"/>
    </row>
    <row r="57" spans="1:42" ht="15">
      <c r="A57" s="61" t="s">
        <v>278</v>
      </c>
      <c r="B57" s="61" t="s">
        <v>614</v>
      </c>
      <c r="C57" s="62" t="s">
        <v>2891</v>
      </c>
      <c r="D57" s="63">
        <v>5</v>
      </c>
      <c r="E57" s="62"/>
      <c r="F57" s="65">
        <v>25</v>
      </c>
      <c r="G57" s="62"/>
      <c r="H57" s="66"/>
      <c r="I57" s="67"/>
      <c r="J57" s="67"/>
      <c r="K57" s="31" t="s">
        <v>65</v>
      </c>
      <c r="L57" s="68">
        <v>57</v>
      </c>
      <c r="M57" s="68"/>
      <c r="N57" s="69"/>
      <c r="O57" s="84" t="s">
        <v>653</v>
      </c>
      <c r="P57" s="84" t="s">
        <v>215</v>
      </c>
      <c r="Q57" s="88" t="s">
        <v>708</v>
      </c>
      <c r="R57" s="84" t="s">
        <v>278</v>
      </c>
      <c r="S57" s="84" t="s">
        <v>1116</v>
      </c>
      <c r="T57" s="90" t="str">
        <f>HYPERLINK("http://www.youtube.com/channel/UCI6WGi4DKkaaBl__rBvifGQ")</f>
        <v>http://www.youtube.com/channel/UCI6WGi4DKkaaBl__rBvifGQ</v>
      </c>
      <c r="U57" s="84"/>
      <c r="V57" s="84" t="s">
        <v>1459</v>
      </c>
      <c r="W57" s="90" t="str">
        <f>HYPERLINK("https://www.youtube.com/watch?v=g-uBNYawlxU")</f>
        <v>https://www.youtube.com/watch?v=g-uBNYawlxU</v>
      </c>
      <c r="X57" s="84" t="s">
        <v>1537</v>
      </c>
      <c r="Y57" s="84">
        <v>8</v>
      </c>
      <c r="Z57" s="84" t="s">
        <v>1559</v>
      </c>
      <c r="AA57" s="84" t="s">
        <v>1559</v>
      </c>
      <c r="AB57" s="84"/>
      <c r="AC57" s="84"/>
      <c r="AD57" s="88" t="s">
        <v>1874</v>
      </c>
      <c r="AE57" s="86">
        <v>1</v>
      </c>
      <c r="AF57" s="87" t="str">
        <f>REPLACE(INDEX(GroupVertices[Group],MATCH(Edges[[#This Row],[Vertex 1]],GroupVertices[Vertex],0)),1,1,"")</f>
        <v>4</v>
      </c>
      <c r="AG57" s="87" t="str">
        <f>REPLACE(INDEX(GroupVertices[Group],MATCH(Edges[[#This Row],[Vertex 2]],GroupVertices[Vertex],0)),1,1,"")</f>
        <v>4</v>
      </c>
      <c r="AH57" s="105"/>
      <c r="AI57" s="105"/>
      <c r="AJ57" s="105"/>
      <c r="AK57" s="105"/>
      <c r="AL57" s="105"/>
      <c r="AM57" s="105"/>
      <c r="AN57" s="105"/>
      <c r="AO57" s="105"/>
      <c r="AP57" s="105"/>
    </row>
    <row r="58" spans="1:42" ht="15">
      <c r="A58" s="61" t="s">
        <v>279</v>
      </c>
      <c r="B58" s="61" t="s">
        <v>614</v>
      </c>
      <c r="C58" s="62" t="s">
        <v>2891</v>
      </c>
      <c r="D58" s="63">
        <v>5</v>
      </c>
      <c r="E58" s="62"/>
      <c r="F58" s="65">
        <v>25</v>
      </c>
      <c r="G58" s="62"/>
      <c r="H58" s="66"/>
      <c r="I58" s="67"/>
      <c r="J58" s="67"/>
      <c r="K58" s="31" t="s">
        <v>65</v>
      </c>
      <c r="L58" s="68">
        <v>58</v>
      </c>
      <c r="M58" s="68"/>
      <c r="N58" s="69"/>
      <c r="O58" s="84" t="s">
        <v>653</v>
      </c>
      <c r="P58" s="84" t="s">
        <v>215</v>
      </c>
      <c r="Q58" s="88" t="s">
        <v>709</v>
      </c>
      <c r="R58" s="84" t="s">
        <v>279</v>
      </c>
      <c r="S58" s="84" t="s">
        <v>1117</v>
      </c>
      <c r="T58" s="90" t="str">
        <f>HYPERLINK("http://www.youtube.com/channel/UCsyr8XkjlSTpc3VH-7WEjyg")</f>
        <v>http://www.youtube.com/channel/UCsyr8XkjlSTpc3VH-7WEjyg</v>
      </c>
      <c r="U58" s="84"/>
      <c r="V58" s="84" t="s">
        <v>1459</v>
      </c>
      <c r="W58" s="90" t="str">
        <f>HYPERLINK("https://www.youtube.com/watch?v=g-uBNYawlxU")</f>
        <v>https://www.youtube.com/watch?v=g-uBNYawlxU</v>
      </c>
      <c r="X58" s="84" t="s">
        <v>1537</v>
      </c>
      <c r="Y58" s="84">
        <v>12</v>
      </c>
      <c r="Z58" s="84" t="s">
        <v>1560</v>
      </c>
      <c r="AA58" s="84" t="s">
        <v>1560</v>
      </c>
      <c r="AB58" s="84"/>
      <c r="AC58" s="84"/>
      <c r="AD58" s="88" t="s">
        <v>1874</v>
      </c>
      <c r="AE58" s="86">
        <v>1</v>
      </c>
      <c r="AF58" s="87" t="str">
        <f>REPLACE(INDEX(GroupVertices[Group],MATCH(Edges[[#This Row],[Vertex 1]],GroupVertices[Vertex],0)),1,1,"")</f>
        <v>4</v>
      </c>
      <c r="AG58" s="87" t="str">
        <f>REPLACE(INDEX(GroupVertices[Group],MATCH(Edges[[#This Row],[Vertex 2]],GroupVertices[Vertex],0)),1,1,"")</f>
        <v>4</v>
      </c>
      <c r="AH58" s="105"/>
      <c r="AI58" s="105"/>
      <c r="AJ58" s="105"/>
      <c r="AK58" s="105"/>
      <c r="AL58" s="105"/>
      <c r="AM58" s="105"/>
      <c r="AN58" s="105"/>
      <c r="AO58" s="105"/>
      <c r="AP58" s="105"/>
    </row>
    <row r="59" spans="1:42" ht="15">
      <c r="A59" s="61" t="s">
        <v>280</v>
      </c>
      <c r="B59" s="61" t="s">
        <v>614</v>
      </c>
      <c r="C59" s="62" t="s">
        <v>2891</v>
      </c>
      <c r="D59" s="63">
        <v>5</v>
      </c>
      <c r="E59" s="62"/>
      <c r="F59" s="65">
        <v>25</v>
      </c>
      <c r="G59" s="62"/>
      <c r="H59" s="66"/>
      <c r="I59" s="67"/>
      <c r="J59" s="67"/>
      <c r="K59" s="31" t="s">
        <v>65</v>
      </c>
      <c r="L59" s="68">
        <v>59</v>
      </c>
      <c r="M59" s="68"/>
      <c r="N59" s="69"/>
      <c r="O59" s="84" t="s">
        <v>653</v>
      </c>
      <c r="P59" s="84" t="s">
        <v>215</v>
      </c>
      <c r="Q59" s="88" t="s">
        <v>710</v>
      </c>
      <c r="R59" s="84" t="s">
        <v>280</v>
      </c>
      <c r="S59" s="84" t="s">
        <v>1118</v>
      </c>
      <c r="T59" s="90" t="str">
        <f>HYPERLINK("http://www.youtube.com/channel/UC1a95iE5mPg887BjqnMFdZw")</f>
        <v>http://www.youtube.com/channel/UC1a95iE5mPg887BjqnMFdZw</v>
      </c>
      <c r="U59" s="84"/>
      <c r="V59" s="84" t="s">
        <v>1459</v>
      </c>
      <c r="W59" s="90" t="str">
        <f>HYPERLINK("https://www.youtube.com/watch?v=g-uBNYawlxU")</f>
        <v>https://www.youtube.com/watch?v=g-uBNYawlxU</v>
      </c>
      <c r="X59" s="84" t="s">
        <v>1537</v>
      </c>
      <c r="Y59" s="84">
        <v>7</v>
      </c>
      <c r="Z59" s="84" t="s">
        <v>1561</v>
      </c>
      <c r="AA59" s="84" t="s">
        <v>1561</v>
      </c>
      <c r="AB59" s="84"/>
      <c r="AC59" s="84"/>
      <c r="AD59" s="88" t="s">
        <v>1874</v>
      </c>
      <c r="AE59" s="86">
        <v>1</v>
      </c>
      <c r="AF59" s="87" t="str">
        <f>REPLACE(INDEX(GroupVertices[Group],MATCH(Edges[[#This Row],[Vertex 1]],GroupVertices[Vertex],0)),1,1,"")</f>
        <v>4</v>
      </c>
      <c r="AG59" s="87" t="str">
        <f>REPLACE(INDEX(GroupVertices[Group],MATCH(Edges[[#This Row],[Vertex 2]],GroupVertices[Vertex],0)),1,1,"")</f>
        <v>4</v>
      </c>
      <c r="AH59" s="105"/>
      <c r="AI59" s="105"/>
      <c r="AJ59" s="105"/>
      <c r="AK59" s="105"/>
      <c r="AL59" s="105"/>
      <c r="AM59" s="105"/>
      <c r="AN59" s="105"/>
      <c r="AO59" s="105"/>
      <c r="AP59" s="105"/>
    </row>
    <row r="60" spans="1:42" ht="15">
      <c r="A60" s="61" t="s">
        <v>281</v>
      </c>
      <c r="B60" s="61" t="s">
        <v>614</v>
      </c>
      <c r="C60" s="62" t="s">
        <v>2891</v>
      </c>
      <c r="D60" s="63">
        <v>5</v>
      </c>
      <c r="E60" s="62"/>
      <c r="F60" s="65">
        <v>25</v>
      </c>
      <c r="G60" s="62"/>
      <c r="H60" s="66"/>
      <c r="I60" s="67"/>
      <c r="J60" s="67"/>
      <c r="K60" s="31" t="s">
        <v>65</v>
      </c>
      <c r="L60" s="68">
        <v>60</v>
      </c>
      <c r="M60" s="68"/>
      <c r="N60" s="69"/>
      <c r="O60" s="84" t="s">
        <v>653</v>
      </c>
      <c r="P60" s="84" t="s">
        <v>215</v>
      </c>
      <c r="Q60" s="88" t="s">
        <v>711</v>
      </c>
      <c r="R60" s="84" t="s">
        <v>281</v>
      </c>
      <c r="S60" s="84" t="s">
        <v>1119</v>
      </c>
      <c r="T60" s="90" t="str">
        <f>HYPERLINK("http://www.youtube.com/channel/UCDiU_lBNmxqRSRbFOqFnLwA")</f>
        <v>http://www.youtube.com/channel/UCDiU_lBNmxqRSRbFOqFnLwA</v>
      </c>
      <c r="U60" s="84"/>
      <c r="V60" s="84" t="s">
        <v>1459</v>
      </c>
      <c r="W60" s="90" t="str">
        <f>HYPERLINK("https://www.youtube.com/watch?v=g-uBNYawlxU")</f>
        <v>https://www.youtube.com/watch?v=g-uBNYawlxU</v>
      </c>
      <c r="X60" s="84" t="s">
        <v>1537</v>
      </c>
      <c r="Y60" s="84">
        <v>8</v>
      </c>
      <c r="Z60" s="84" t="s">
        <v>1562</v>
      </c>
      <c r="AA60" s="84" t="s">
        <v>1837</v>
      </c>
      <c r="AB60" s="84"/>
      <c r="AC60" s="84"/>
      <c r="AD60" s="88" t="s">
        <v>1874</v>
      </c>
      <c r="AE60" s="86">
        <v>1</v>
      </c>
      <c r="AF60" s="87" t="str">
        <f>REPLACE(INDEX(GroupVertices[Group],MATCH(Edges[[#This Row],[Vertex 1]],GroupVertices[Vertex],0)),1,1,"")</f>
        <v>4</v>
      </c>
      <c r="AG60" s="87" t="str">
        <f>REPLACE(INDEX(GroupVertices[Group],MATCH(Edges[[#This Row],[Vertex 2]],GroupVertices[Vertex],0)),1,1,"")</f>
        <v>4</v>
      </c>
      <c r="AH60" s="105"/>
      <c r="AI60" s="105"/>
      <c r="AJ60" s="105"/>
      <c r="AK60" s="105"/>
      <c r="AL60" s="105"/>
      <c r="AM60" s="105"/>
      <c r="AN60" s="105"/>
      <c r="AO60" s="105"/>
      <c r="AP60" s="105"/>
    </row>
    <row r="61" spans="1:42" ht="15">
      <c r="A61" s="61" t="s">
        <v>282</v>
      </c>
      <c r="B61" s="61" t="s">
        <v>614</v>
      </c>
      <c r="C61" s="62" t="s">
        <v>2891</v>
      </c>
      <c r="D61" s="63">
        <v>5</v>
      </c>
      <c r="E61" s="62"/>
      <c r="F61" s="65">
        <v>25</v>
      </c>
      <c r="G61" s="62"/>
      <c r="H61" s="66"/>
      <c r="I61" s="67"/>
      <c r="J61" s="67"/>
      <c r="K61" s="31" t="s">
        <v>65</v>
      </c>
      <c r="L61" s="68">
        <v>61</v>
      </c>
      <c r="M61" s="68"/>
      <c r="N61" s="69"/>
      <c r="O61" s="84" t="s">
        <v>653</v>
      </c>
      <c r="P61" s="84" t="s">
        <v>215</v>
      </c>
      <c r="Q61" s="88" t="s">
        <v>712</v>
      </c>
      <c r="R61" s="84" t="s">
        <v>282</v>
      </c>
      <c r="S61" s="84" t="s">
        <v>1120</v>
      </c>
      <c r="T61" s="90" t="str">
        <f>HYPERLINK("http://www.youtube.com/channel/UCk0gbacQnNze9OWsyJS-RpA")</f>
        <v>http://www.youtube.com/channel/UCk0gbacQnNze9OWsyJS-RpA</v>
      </c>
      <c r="U61" s="84"/>
      <c r="V61" s="84" t="s">
        <v>1459</v>
      </c>
      <c r="W61" s="90" t="str">
        <f>HYPERLINK("https://www.youtube.com/watch?v=g-uBNYawlxU")</f>
        <v>https://www.youtube.com/watch?v=g-uBNYawlxU</v>
      </c>
      <c r="X61" s="84" t="s">
        <v>1537</v>
      </c>
      <c r="Y61" s="84">
        <v>2</v>
      </c>
      <c r="Z61" s="84" t="s">
        <v>1563</v>
      </c>
      <c r="AA61" s="84" t="s">
        <v>1838</v>
      </c>
      <c r="AB61" s="84"/>
      <c r="AC61" s="84"/>
      <c r="AD61" s="88" t="s">
        <v>1874</v>
      </c>
      <c r="AE61" s="86">
        <v>1</v>
      </c>
      <c r="AF61" s="87" t="str">
        <f>REPLACE(INDEX(GroupVertices[Group],MATCH(Edges[[#This Row],[Vertex 1]],GroupVertices[Vertex],0)),1,1,"")</f>
        <v>4</v>
      </c>
      <c r="AG61" s="87" t="str">
        <f>REPLACE(INDEX(GroupVertices[Group],MATCH(Edges[[#This Row],[Vertex 2]],GroupVertices[Vertex],0)),1,1,"")</f>
        <v>4</v>
      </c>
      <c r="AH61" s="105"/>
      <c r="AI61" s="105"/>
      <c r="AJ61" s="105"/>
      <c r="AK61" s="105"/>
      <c r="AL61" s="105"/>
      <c r="AM61" s="105"/>
      <c r="AN61" s="105"/>
      <c r="AO61" s="105"/>
      <c r="AP61" s="105"/>
    </row>
    <row r="62" spans="1:42" ht="15">
      <c r="A62" s="61" t="s">
        <v>283</v>
      </c>
      <c r="B62" s="61" t="s">
        <v>614</v>
      </c>
      <c r="C62" s="62" t="s">
        <v>2891</v>
      </c>
      <c r="D62" s="63">
        <v>5</v>
      </c>
      <c r="E62" s="62"/>
      <c r="F62" s="65">
        <v>25</v>
      </c>
      <c r="G62" s="62"/>
      <c r="H62" s="66"/>
      <c r="I62" s="67"/>
      <c r="J62" s="67"/>
      <c r="K62" s="31" t="s">
        <v>65</v>
      </c>
      <c r="L62" s="68">
        <v>62</v>
      </c>
      <c r="M62" s="68"/>
      <c r="N62" s="69"/>
      <c r="O62" s="84" t="s">
        <v>653</v>
      </c>
      <c r="P62" s="84" t="s">
        <v>215</v>
      </c>
      <c r="Q62" s="88" t="s">
        <v>713</v>
      </c>
      <c r="R62" s="84" t="s">
        <v>283</v>
      </c>
      <c r="S62" s="84" t="s">
        <v>1121</v>
      </c>
      <c r="T62" s="90" t="str">
        <f>HYPERLINK("http://www.youtube.com/channel/UCavsA-EWpoXsgT6tG7C5msg")</f>
        <v>http://www.youtube.com/channel/UCavsA-EWpoXsgT6tG7C5msg</v>
      </c>
      <c r="U62" s="84"/>
      <c r="V62" s="84" t="s">
        <v>1459</v>
      </c>
      <c r="W62" s="90" t="str">
        <f>HYPERLINK("https://www.youtube.com/watch?v=g-uBNYawlxU")</f>
        <v>https://www.youtube.com/watch?v=g-uBNYawlxU</v>
      </c>
      <c r="X62" s="84" t="s">
        <v>1537</v>
      </c>
      <c r="Y62" s="84">
        <v>0</v>
      </c>
      <c r="Z62" s="84" t="s">
        <v>1564</v>
      </c>
      <c r="AA62" s="84" t="s">
        <v>1564</v>
      </c>
      <c r="AB62" s="84"/>
      <c r="AC62" s="84"/>
      <c r="AD62" s="88" t="s">
        <v>1874</v>
      </c>
      <c r="AE62" s="86">
        <v>1</v>
      </c>
      <c r="AF62" s="87" t="str">
        <f>REPLACE(INDEX(GroupVertices[Group],MATCH(Edges[[#This Row],[Vertex 1]],GroupVertices[Vertex],0)),1,1,"")</f>
        <v>4</v>
      </c>
      <c r="AG62" s="87" t="str">
        <f>REPLACE(INDEX(GroupVertices[Group],MATCH(Edges[[#This Row],[Vertex 2]],GroupVertices[Vertex],0)),1,1,"")</f>
        <v>4</v>
      </c>
      <c r="AH62" s="105"/>
      <c r="AI62" s="105"/>
      <c r="AJ62" s="105"/>
      <c r="AK62" s="105"/>
      <c r="AL62" s="105"/>
      <c r="AM62" s="105"/>
      <c r="AN62" s="105"/>
      <c r="AO62" s="105"/>
      <c r="AP62" s="105"/>
    </row>
    <row r="63" spans="1:42" ht="15">
      <c r="A63" s="61" t="s">
        <v>284</v>
      </c>
      <c r="B63" s="61" t="s">
        <v>614</v>
      </c>
      <c r="C63" s="62" t="s">
        <v>2891</v>
      </c>
      <c r="D63" s="63">
        <v>5</v>
      </c>
      <c r="E63" s="62"/>
      <c r="F63" s="65">
        <v>25</v>
      </c>
      <c r="G63" s="62"/>
      <c r="H63" s="66"/>
      <c r="I63" s="67"/>
      <c r="J63" s="67"/>
      <c r="K63" s="31" t="s">
        <v>65</v>
      </c>
      <c r="L63" s="68">
        <v>63</v>
      </c>
      <c r="M63" s="68"/>
      <c r="N63" s="69"/>
      <c r="O63" s="84" t="s">
        <v>653</v>
      </c>
      <c r="P63" s="84" t="s">
        <v>215</v>
      </c>
      <c r="Q63" s="88" t="s">
        <v>714</v>
      </c>
      <c r="R63" s="84" t="s">
        <v>284</v>
      </c>
      <c r="S63" s="84" t="s">
        <v>1122</v>
      </c>
      <c r="T63" s="90" t="str">
        <f>HYPERLINK("http://www.youtube.com/channel/UCA7-CAF-3M2q2BoR-HulA7A")</f>
        <v>http://www.youtube.com/channel/UCA7-CAF-3M2q2BoR-HulA7A</v>
      </c>
      <c r="U63" s="84"/>
      <c r="V63" s="84" t="s">
        <v>1459</v>
      </c>
      <c r="W63" s="90" t="str">
        <f>HYPERLINK("https://www.youtube.com/watch?v=g-uBNYawlxU")</f>
        <v>https://www.youtube.com/watch?v=g-uBNYawlxU</v>
      </c>
      <c r="X63" s="84" t="s">
        <v>1537</v>
      </c>
      <c r="Y63" s="84">
        <v>0</v>
      </c>
      <c r="Z63" s="84" t="s">
        <v>1565</v>
      </c>
      <c r="AA63" s="84" t="s">
        <v>1839</v>
      </c>
      <c r="AB63" s="84"/>
      <c r="AC63" s="84"/>
      <c r="AD63" s="88" t="s">
        <v>1874</v>
      </c>
      <c r="AE63" s="86">
        <v>1</v>
      </c>
      <c r="AF63" s="87" t="str">
        <f>REPLACE(INDEX(GroupVertices[Group],MATCH(Edges[[#This Row],[Vertex 1]],GroupVertices[Vertex],0)),1,1,"")</f>
        <v>4</v>
      </c>
      <c r="AG63" s="87" t="str">
        <f>REPLACE(INDEX(GroupVertices[Group],MATCH(Edges[[#This Row],[Vertex 2]],GroupVertices[Vertex],0)),1,1,"")</f>
        <v>4</v>
      </c>
      <c r="AH63" s="105"/>
      <c r="AI63" s="105"/>
      <c r="AJ63" s="105"/>
      <c r="AK63" s="105"/>
      <c r="AL63" s="105"/>
      <c r="AM63" s="105"/>
      <c r="AN63" s="105"/>
      <c r="AO63" s="105"/>
      <c r="AP63" s="105"/>
    </row>
    <row r="64" spans="1:42" ht="15">
      <c r="A64" s="61" t="s">
        <v>285</v>
      </c>
      <c r="B64" s="61" t="s">
        <v>614</v>
      </c>
      <c r="C64" s="62" t="s">
        <v>2892</v>
      </c>
      <c r="D64" s="63">
        <v>5.833333333333333</v>
      </c>
      <c r="E64" s="62"/>
      <c r="F64" s="65">
        <v>15</v>
      </c>
      <c r="G64" s="62"/>
      <c r="H64" s="66"/>
      <c r="I64" s="67"/>
      <c r="J64" s="67"/>
      <c r="K64" s="31" t="s">
        <v>65</v>
      </c>
      <c r="L64" s="68">
        <v>64</v>
      </c>
      <c r="M64" s="68"/>
      <c r="N64" s="69"/>
      <c r="O64" s="84" t="s">
        <v>653</v>
      </c>
      <c r="P64" s="84" t="s">
        <v>215</v>
      </c>
      <c r="Q64" s="88" t="s">
        <v>715</v>
      </c>
      <c r="R64" s="84" t="s">
        <v>285</v>
      </c>
      <c r="S64" s="84" t="s">
        <v>1123</v>
      </c>
      <c r="T64" s="90" t="str">
        <f>HYPERLINK("http://www.youtube.com/channel/UCoy72i44cGE_0uglc0FXLGA")</f>
        <v>http://www.youtube.com/channel/UCoy72i44cGE_0uglc0FXLGA</v>
      </c>
      <c r="U64" s="84"/>
      <c r="V64" s="84" t="s">
        <v>1459</v>
      </c>
      <c r="W64" s="90" t="str">
        <f>HYPERLINK("https://www.youtube.com/watch?v=g-uBNYawlxU")</f>
        <v>https://www.youtube.com/watch?v=g-uBNYawlxU</v>
      </c>
      <c r="X64" s="84" t="s">
        <v>1537</v>
      </c>
      <c r="Y64" s="84">
        <v>1</v>
      </c>
      <c r="Z64" s="84" t="s">
        <v>1566</v>
      </c>
      <c r="AA64" s="84" t="s">
        <v>1566</v>
      </c>
      <c r="AB64" s="84"/>
      <c r="AC64" s="84"/>
      <c r="AD64" s="88" t="s">
        <v>1874</v>
      </c>
      <c r="AE64" s="86">
        <v>2</v>
      </c>
      <c r="AF64" s="87" t="str">
        <f>REPLACE(INDEX(GroupVertices[Group],MATCH(Edges[[#This Row],[Vertex 1]],GroupVertices[Vertex],0)),1,1,"")</f>
        <v>4</v>
      </c>
      <c r="AG64" s="87" t="str">
        <f>REPLACE(INDEX(GroupVertices[Group],MATCH(Edges[[#This Row],[Vertex 2]],GroupVertices[Vertex],0)),1,1,"")</f>
        <v>4</v>
      </c>
      <c r="AH64" s="105"/>
      <c r="AI64" s="105"/>
      <c r="AJ64" s="105"/>
      <c r="AK64" s="105"/>
      <c r="AL64" s="105"/>
      <c r="AM64" s="105"/>
      <c r="AN64" s="105"/>
      <c r="AO64" s="105"/>
      <c r="AP64" s="105"/>
    </row>
    <row r="65" spans="1:42" ht="15">
      <c r="A65" s="61" t="s">
        <v>285</v>
      </c>
      <c r="B65" s="61" t="s">
        <v>614</v>
      </c>
      <c r="C65" s="62" t="s">
        <v>2892</v>
      </c>
      <c r="D65" s="63">
        <v>5.833333333333333</v>
      </c>
      <c r="E65" s="62"/>
      <c r="F65" s="65">
        <v>15</v>
      </c>
      <c r="G65" s="62"/>
      <c r="H65" s="66"/>
      <c r="I65" s="67"/>
      <c r="J65" s="67"/>
      <c r="K65" s="31" t="s">
        <v>65</v>
      </c>
      <c r="L65" s="68">
        <v>65</v>
      </c>
      <c r="M65" s="68"/>
      <c r="N65" s="69"/>
      <c r="O65" s="84" t="s">
        <v>653</v>
      </c>
      <c r="P65" s="84" t="s">
        <v>215</v>
      </c>
      <c r="Q65" s="88" t="s">
        <v>716</v>
      </c>
      <c r="R65" s="84" t="s">
        <v>285</v>
      </c>
      <c r="S65" s="84" t="s">
        <v>1123</v>
      </c>
      <c r="T65" s="90" t="str">
        <f>HYPERLINK("http://www.youtube.com/channel/UCoy72i44cGE_0uglc0FXLGA")</f>
        <v>http://www.youtube.com/channel/UCoy72i44cGE_0uglc0FXLGA</v>
      </c>
      <c r="U65" s="84"/>
      <c r="V65" s="84" t="s">
        <v>1459</v>
      </c>
      <c r="W65" s="90" t="str">
        <f>HYPERLINK("https://www.youtube.com/watch?v=g-uBNYawlxU")</f>
        <v>https://www.youtube.com/watch?v=g-uBNYawlxU</v>
      </c>
      <c r="X65" s="84" t="s">
        <v>1537</v>
      </c>
      <c r="Y65" s="84">
        <v>4</v>
      </c>
      <c r="Z65" s="84" t="s">
        <v>1567</v>
      </c>
      <c r="AA65" s="84" t="s">
        <v>1567</v>
      </c>
      <c r="AB65" s="84"/>
      <c r="AC65" s="84"/>
      <c r="AD65" s="88" t="s">
        <v>1874</v>
      </c>
      <c r="AE65" s="86">
        <v>2</v>
      </c>
      <c r="AF65" s="87" t="str">
        <f>REPLACE(INDEX(GroupVertices[Group],MATCH(Edges[[#This Row],[Vertex 1]],GroupVertices[Vertex],0)),1,1,"")</f>
        <v>4</v>
      </c>
      <c r="AG65" s="87" t="str">
        <f>REPLACE(INDEX(GroupVertices[Group],MATCH(Edges[[#This Row],[Vertex 2]],GroupVertices[Vertex],0)),1,1,"")</f>
        <v>4</v>
      </c>
      <c r="AH65" s="105"/>
      <c r="AI65" s="105"/>
      <c r="AJ65" s="105"/>
      <c r="AK65" s="105"/>
      <c r="AL65" s="105"/>
      <c r="AM65" s="105"/>
      <c r="AN65" s="105"/>
      <c r="AO65" s="105"/>
      <c r="AP65" s="105"/>
    </row>
    <row r="66" spans="1:42" ht="15">
      <c r="A66" s="61" t="s">
        <v>286</v>
      </c>
      <c r="B66" s="61" t="s">
        <v>614</v>
      </c>
      <c r="C66" s="62" t="s">
        <v>2891</v>
      </c>
      <c r="D66" s="63">
        <v>5</v>
      </c>
      <c r="E66" s="62"/>
      <c r="F66" s="65">
        <v>25</v>
      </c>
      <c r="G66" s="62"/>
      <c r="H66" s="66"/>
      <c r="I66" s="67"/>
      <c r="J66" s="67"/>
      <c r="K66" s="31" t="s">
        <v>65</v>
      </c>
      <c r="L66" s="68">
        <v>66</v>
      </c>
      <c r="M66" s="68"/>
      <c r="N66" s="69"/>
      <c r="O66" s="84" t="s">
        <v>653</v>
      </c>
      <c r="P66" s="84" t="s">
        <v>215</v>
      </c>
      <c r="Q66" s="88" t="s">
        <v>717</v>
      </c>
      <c r="R66" s="84" t="s">
        <v>286</v>
      </c>
      <c r="S66" s="84" t="s">
        <v>1124</v>
      </c>
      <c r="T66" s="90" t="str">
        <f>HYPERLINK("http://www.youtube.com/channel/UCtlCxUfwi1QLqvlxpzNAckA")</f>
        <v>http://www.youtube.com/channel/UCtlCxUfwi1QLqvlxpzNAckA</v>
      </c>
      <c r="U66" s="84"/>
      <c r="V66" s="84" t="s">
        <v>1459</v>
      </c>
      <c r="W66" s="90" t="str">
        <f>HYPERLINK("https://www.youtube.com/watch?v=g-uBNYawlxU")</f>
        <v>https://www.youtube.com/watch?v=g-uBNYawlxU</v>
      </c>
      <c r="X66" s="84" t="s">
        <v>1537</v>
      </c>
      <c r="Y66" s="84">
        <v>0</v>
      </c>
      <c r="Z66" s="84" t="s">
        <v>1568</v>
      </c>
      <c r="AA66" s="84" t="s">
        <v>1568</v>
      </c>
      <c r="AB66" s="84"/>
      <c r="AC66" s="84"/>
      <c r="AD66" s="88" t="s">
        <v>1874</v>
      </c>
      <c r="AE66" s="86">
        <v>1</v>
      </c>
      <c r="AF66" s="87" t="str">
        <f>REPLACE(INDEX(GroupVertices[Group],MATCH(Edges[[#This Row],[Vertex 1]],GroupVertices[Vertex],0)),1,1,"")</f>
        <v>4</v>
      </c>
      <c r="AG66" s="87" t="str">
        <f>REPLACE(INDEX(GroupVertices[Group],MATCH(Edges[[#This Row],[Vertex 2]],GroupVertices[Vertex],0)),1,1,"")</f>
        <v>4</v>
      </c>
      <c r="AH66" s="105"/>
      <c r="AI66" s="105"/>
      <c r="AJ66" s="105"/>
      <c r="AK66" s="105"/>
      <c r="AL66" s="105"/>
      <c r="AM66" s="105"/>
      <c r="AN66" s="105"/>
      <c r="AO66" s="105"/>
      <c r="AP66" s="105"/>
    </row>
    <row r="67" spans="1:42" ht="15">
      <c r="A67" s="61" t="s">
        <v>287</v>
      </c>
      <c r="B67" s="61" t="s">
        <v>614</v>
      </c>
      <c r="C67" s="62" t="s">
        <v>2891</v>
      </c>
      <c r="D67" s="63">
        <v>5</v>
      </c>
      <c r="E67" s="62"/>
      <c r="F67" s="65">
        <v>25</v>
      </c>
      <c r="G67" s="62"/>
      <c r="H67" s="66"/>
      <c r="I67" s="67"/>
      <c r="J67" s="67"/>
      <c r="K67" s="31" t="s">
        <v>65</v>
      </c>
      <c r="L67" s="68">
        <v>67</v>
      </c>
      <c r="M67" s="68"/>
      <c r="N67" s="69"/>
      <c r="O67" s="84" t="s">
        <v>653</v>
      </c>
      <c r="P67" s="84" t="s">
        <v>215</v>
      </c>
      <c r="Q67" s="88" t="s">
        <v>718</v>
      </c>
      <c r="R67" s="84" t="s">
        <v>287</v>
      </c>
      <c r="S67" s="84" t="s">
        <v>1125</v>
      </c>
      <c r="T67" s="90" t="str">
        <f>HYPERLINK("http://www.youtube.com/channel/UCAgZ0RM8PeKgZZifulZGL6g")</f>
        <v>http://www.youtube.com/channel/UCAgZ0RM8PeKgZZifulZGL6g</v>
      </c>
      <c r="U67" s="84"/>
      <c r="V67" s="84" t="s">
        <v>1459</v>
      </c>
      <c r="W67" s="90" t="str">
        <f>HYPERLINK("https://www.youtube.com/watch?v=g-uBNYawlxU")</f>
        <v>https://www.youtube.com/watch?v=g-uBNYawlxU</v>
      </c>
      <c r="X67" s="84" t="s">
        <v>1537</v>
      </c>
      <c r="Y67" s="84">
        <v>2</v>
      </c>
      <c r="Z67" s="84" t="s">
        <v>1569</v>
      </c>
      <c r="AA67" s="84" t="s">
        <v>1569</v>
      </c>
      <c r="AB67" s="84"/>
      <c r="AC67" s="84"/>
      <c r="AD67" s="88" t="s">
        <v>1874</v>
      </c>
      <c r="AE67" s="86">
        <v>1</v>
      </c>
      <c r="AF67" s="87" t="str">
        <f>REPLACE(INDEX(GroupVertices[Group],MATCH(Edges[[#This Row],[Vertex 1]],GroupVertices[Vertex],0)),1,1,"")</f>
        <v>4</v>
      </c>
      <c r="AG67" s="87" t="str">
        <f>REPLACE(INDEX(GroupVertices[Group],MATCH(Edges[[#This Row],[Vertex 2]],GroupVertices[Vertex],0)),1,1,"")</f>
        <v>4</v>
      </c>
      <c r="AH67" s="105"/>
      <c r="AI67" s="105"/>
      <c r="AJ67" s="105"/>
      <c r="AK67" s="105"/>
      <c r="AL67" s="105"/>
      <c r="AM67" s="105"/>
      <c r="AN67" s="105"/>
      <c r="AO67" s="105"/>
      <c r="AP67" s="105"/>
    </row>
    <row r="68" spans="1:42" ht="15">
      <c r="A68" s="61" t="s">
        <v>288</v>
      </c>
      <c r="B68" s="61" t="s">
        <v>614</v>
      </c>
      <c r="C68" s="62" t="s">
        <v>2891</v>
      </c>
      <c r="D68" s="63">
        <v>5</v>
      </c>
      <c r="E68" s="62"/>
      <c r="F68" s="65">
        <v>25</v>
      </c>
      <c r="G68" s="62"/>
      <c r="H68" s="66"/>
      <c r="I68" s="67"/>
      <c r="J68" s="67"/>
      <c r="K68" s="31" t="s">
        <v>65</v>
      </c>
      <c r="L68" s="68">
        <v>68</v>
      </c>
      <c r="M68" s="68"/>
      <c r="N68" s="69"/>
      <c r="O68" s="84" t="s">
        <v>653</v>
      </c>
      <c r="P68" s="84" t="s">
        <v>215</v>
      </c>
      <c r="Q68" s="88" t="s">
        <v>719</v>
      </c>
      <c r="R68" s="84" t="s">
        <v>288</v>
      </c>
      <c r="S68" s="84" t="s">
        <v>1126</v>
      </c>
      <c r="T68" s="90" t="str">
        <f>HYPERLINK("http://www.youtube.com/channel/UCmnFIlbqVbLGPjZCoXj4oJg")</f>
        <v>http://www.youtube.com/channel/UCmnFIlbqVbLGPjZCoXj4oJg</v>
      </c>
      <c r="U68" s="84"/>
      <c r="V68" s="84" t="s">
        <v>1459</v>
      </c>
      <c r="W68" s="90" t="str">
        <f>HYPERLINK("https://www.youtube.com/watch?v=g-uBNYawlxU")</f>
        <v>https://www.youtube.com/watch?v=g-uBNYawlxU</v>
      </c>
      <c r="X68" s="84" t="s">
        <v>1537</v>
      </c>
      <c r="Y68" s="84">
        <v>0</v>
      </c>
      <c r="Z68" s="84" t="s">
        <v>1570</v>
      </c>
      <c r="AA68" s="84" t="s">
        <v>1570</v>
      </c>
      <c r="AB68" s="84"/>
      <c r="AC68" s="84"/>
      <c r="AD68" s="88" t="s">
        <v>1874</v>
      </c>
      <c r="AE68" s="86">
        <v>1</v>
      </c>
      <c r="AF68" s="87" t="str">
        <f>REPLACE(INDEX(GroupVertices[Group],MATCH(Edges[[#This Row],[Vertex 1]],GroupVertices[Vertex],0)),1,1,"")</f>
        <v>4</v>
      </c>
      <c r="AG68" s="87" t="str">
        <f>REPLACE(INDEX(GroupVertices[Group],MATCH(Edges[[#This Row],[Vertex 2]],GroupVertices[Vertex],0)),1,1,"")</f>
        <v>4</v>
      </c>
      <c r="AH68" s="105"/>
      <c r="AI68" s="105"/>
      <c r="AJ68" s="105"/>
      <c r="AK68" s="105"/>
      <c r="AL68" s="105"/>
      <c r="AM68" s="105"/>
      <c r="AN68" s="105"/>
      <c r="AO68" s="105"/>
      <c r="AP68" s="105"/>
    </row>
    <row r="69" spans="1:42" ht="15">
      <c r="A69" s="61" t="s">
        <v>289</v>
      </c>
      <c r="B69" s="61" t="s">
        <v>614</v>
      </c>
      <c r="C69" s="62" t="s">
        <v>2891</v>
      </c>
      <c r="D69" s="63">
        <v>5</v>
      </c>
      <c r="E69" s="62"/>
      <c r="F69" s="65">
        <v>25</v>
      </c>
      <c r="G69" s="62"/>
      <c r="H69" s="66"/>
      <c r="I69" s="67"/>
      <c r="J69" s="67"/>
      <c r="K69" s="31" t="s">
        <v>65</v>
      </c>
      <c r="L69" s="68">
        <v>69</v>
      </c>
      <c r="M69" s="68"/>
      <c r="N69" s="69"/>
      <c r="O69" s="84" t="s">
        <v>653</v>
      </c>
      <c r="P69" s="84" t="s">
        <v>215</v>
      </c>
      <c r="Q69" s="88" t="s">
        <v>720</v>
      </c>
      <c r="R69" s="84" t="s">
        <v>289</v>
      </c>
      <c r="S69" s="84" t="s">
        <v>1127</v>
      </c>
      <c r="T69" s="90" t="str">
        <f>HYPERLINK("http://www.youtube.com/channel/UCqhr5Tcm2qbJzvLnbxsealQ")</f>
        <v>http://www.youtube.com/channel/UCqhr5Tcm2qbJzvLnbxsealQ</v>
      </c>
      <c r="U69" s="84"/>
      <c r="V69" s="84" t="s">
        <v>1459</v>
      </c>
      <c r="W69" s="90" t="str">
        <f>HYPERLINK("https://www.youtube.com/watch?v=g-uBNYawlxU")</f>
        <v>https://www.youtube.com/watch?v=g-uBNYawlxU</v>
      </c>
      <c r="X69" s="84" t="s">
        <v>1537</v>
      </c>
      <c r="Y69" s="84">
        <v>1</v>
      </c>
      <c r="Z69" s="84" t="s">
        <v>1571</v>
      </c>
      <c r="AA69" s="84" t="s">
        <v>1840</v>
      </c>
      <c r="AB69" s="84"/>
      <c r="AC69" s="84"/>
      <c r="AD69" s="88" t="s">
        <v>1874</v>
      </c>
      <c r="AE69" s="86">
        <v>1</v>
      </c>
      <c r="AF69" s="87" t="str">
        <f>REPLACE(INDEX(GroupVertices[Group],MATCH(Edges[[#This Row],[Vertex 1]],GroupVertices[Vertex],0)),1,1,"")</f>
        <v>4</v>
      </c>
      <c r="AG69" s="87" t="str">
        <f>REPLACE(INDEX(GroupVertices[Group],MATCH(Edges[[#This Row],[Vertex 2]],GroupVertices[Vertex],0)),1,1,"")</f>
        <v>4</v>
      </c>
      <c r="AH69" s="105"/>
      <c r="AI69" s="105"/>
      <c r="AJ69" s="105"/>
      <c r="AK69" s="105"/>
      <c r="AL69" s="105"/>
      <c r="AM69" s="105"/>
      <c r="AN69" s="105"/>
      <c r="AO69" s="105"/>
      <c r="AP69" s="105"/>
    </row>
    <row r="70" spans="1:42" ht="15">
      <c r="A70" s="61" t="s">
        <v>290</v>
      </c>
      <c r="B70" s="61" t="s">
        <v>614</v>
      </c>
      <c r="C70" s="62" t="s">
        <v>2891</v>
      </c>
      <c r="D70" s="63">
        <v>5</v>
      </c>
      <c r="E70" s="62"/>
      <c r="F70" s="65">
        <v>25</v>
      </c>
      <c r="G70" s="62"/>
      <c r="H70" s="66"/>
      <c r="I70" s="67"/>
      <c r="J70" s="67"/>
      <c r="K70" s="31" t="s">
        <v>65</v>
      </c>
      <c r="L70" s="68">
        <v>70</v>
      </c>
      <c r="M70" s="68"/>
      <c r="N70" s="69"/>
      <c r="O70" s="84" t="s">
        <v>653</v>
      </c>
      <c r="P70" s="84" t="s">
        <v>215</v>
      </c>
      <c r="Q70" s="88" t="s">
        <v>721</v>
      </c>
      <c r="R70" s="84" t="s">
        <v>290</v>
      </c>
      <c r="S70" s="84" t="s">
        <v>1128</v>
      </c>
      <c r="T70" s="90" t="str">
        <f>HYPERLINK("http://www.youtube.com/channel/UCVOBi0UXAKcEk0z471Qf-DA")</f>
        <v>http://www.youtube.com/channel/UCVOBi0UXAKcEk0z471Qf-DA</v>
      </c>
      <c r="U70" s="84"/>
      <c r="V70" s="84" t="s">
        <v>1459</v>
      </c>
      <c r="W70" s="90" t="str">
        <f>HYPERLINK("https://www.youtube.com/watch?v=g-uBNYawlxU")</f>
        <v>https://www.youtube.com/watch?v=g-uBNYawlxU</v>
      </c>
      <c r="X70" s="84" t="s">
        <v>1537</v>
      </c>
      <c r="Y70" s="84">
        <v>3</v>
      </c>
      <c r="Z70" s="84" t="s">
        <v>1572</v>
      </c>
      <c r="AA70" s="84" t="s">
        <v>1572</v>
      </c>
      <c r="AB70" s="84"/>
      <c r="AC70" s="84"/>
      <c r="AD70" s="88" t="s">
        <v>1874</v>
      </c>
      <c r="AE70" s="86">
        <v>1</v>
      </c>
      <c r="AF70" s="87" t="str">
        <f>REPLACE(INDEX(GroupVertices[Group],MATCH(Edges[[#This Row],[Vertex 1]],GroupVertices[Vertex],0)),1,1,"")</f>
        <v>4</v>
      </c>
      <c r="AG70" s="87" t="str">
        <f>REPLACE(INDEX(GroupVertices[Group],MATCH(Edges[[#This Row],[Vertex 2]],GroupVertices[Vertex],0)),1,1,"")</f>
        <v>4</v>
      </c>
      <c r="AH70" s="105"/>
      <c r="AI70" s="105"/>
      <c r="AJ70" s="105"/>
      <c r="AK70" s="105"/>
      <c r="AL70" s="105"/>
      <c r="AM70" s="105"/>
      <c r="AN70" s="105"/>
      <c r="AO70" s="105"/>
      <c r="AP70" s="105"/>
    </row>
    <row r="71" spans="1:42" ht="15">
      <c r="A71" s="61" t="s">
        <v>291</v>
      </c>
      <c r="B71" s="61" t="s">
        <v>614</v>
      </c>
      <c r="C71" s="62" t="s">
        <v>2891</v>
      </c>
      <c r="D71" s="63">
        <v>5</v>
      </c>
      <c r="E71" s="62"/>
      <c r="F71" s="65">
        <v>25</v>
      </c>
      <c r="G71" s="62"/>
      <c r="H71" s="66"/>
      <c r="I71" s="67"/>
      <c r="J71" s="67"/>
      <c r="K71" s="31" t="s">
        <v>65</v>
      </c>
      <c r="L71" s="68">
        <v>71</v>
      </c>
      <c r="M71" s="68"/>
      <c r="N71" s="69"/>
      <c r="O71" s="84" t="s">
        <v>653</v>
      </c>
      <c r="P71" s="84" t="s">
        <v>215</v>
      </c>
      <c r="Q71" s="88" t="s">
        <v>722</v>
      </c>
      <c r="R71" s="84" t="s">
        <v>291</v>
      </c>
      <c r="S71" s="84" t="s">
        <v>1129</v>
      </c>
      <c r="T71" s="90" t="str">
        <f>HYPERLINK("http://www.youtube.com/channel/UCEgERZfssXDplwE7uqarTuw")</f>
        <v>http://www.youtube.com/channel/UCEgERZfssXDplwE7uqarTuw</v>
      </c>
      <c r="U71" s="84"/>
      <c r="V71" s="84" t="s">
        <v>1459</v>
      </c>
      <c r="W71" s="90" t="str">
        <f>HYPERLINK("https://www.youtube.com/watch?v=g-uBNYawlxU")</f>
        <v>https://www.youtube.com/watch?v=g-uBNYawlxU</v>
      </c>
      <c r="X71" s="84" t="s">
        <v>1537</v>
      </c>
      <c r="Y71" s="84">
        <v>0</v>
      </c>
      <c r="Z71" s="84" t="s">
        <v>1573</v>
      </c>
      <c r="AA71" s="84" t="s">
        <v>1573</v>
      </c>
      <c r="AB71" s="84"/>
      <c r="AC71" s="84"/>
      <c r="AD71" s="88" t="s">
        <v>1874</v>
      </c>
      <c r="AE71" s="86">
        <v>1</v>
      </c>
      <c r="AF71" s="87" t="str">
        <f>REPLACE(INDEX(GroupVertices[Group],MATCH(Edges[[#This Row],[Vertex 1]],GroupVertices[Vertex],0)),1,1,"")</f>
        <v>4</v>
      </c>
      <c r="AG71" s="87" t="str">
        <f>REPLACE(INDEX(GroupVertices[Group],MATCH(Edges[[#This Row],[Vertex 2]],GroupVertices[Vertex],0)),1,1,"")</f>
        <v>4</v>
      </c>
      <c r="AH71" s="105"/>
      <c r="AI71" s="105"/>
      <c r="AJ71" s="105"/>
      <c r="AK71" s="105"/>
      <c r="AL71" s="105"/>
      <c r="AM71" s="105"/>
      <c r="AN71" s="105"/>
      <c r="AO71" s="105"/>
      <c r="AP71" s="105"/>
    </row>
    <row r="72" spans="1:42" ht="15">
      <c r="A72" s="61" t="s">
        <v>292</v>
      </c>
      <c r="B72" s="61" t="s">
        <v>614</v>
      </c>
      <c r="C72" s="62" t="s">
        <v>2891</v>
      </c>
      <c r="D72" s="63">
        <v>5</v>
      </c>
      <c r="E72" s="62"/>
      <c r="F72" s="65">
        <v>25</v>
      </c>
      <c r="G72" s="62"/>
      <c r="H72" s="66"/>
      <c r="I72" s="67"/>
      <c r="J72" s="67"/>
      <c r="K72" s="31" t="s">
        <v>65</v>
      </c>
      <c r="L72" s="68">
        <v>72</v>
      </c>
      <c r="M72" s="68"/>
      <c r="N72" s="69"/>
      <c r="O72" s="84" t="s">
        <v>653</v>
      </c>
      <c r="P72" s="84" t="s">
        <v>215</v>
      </c>
      <c r="Q72" s="88" t="s">
        <v>723</v>
      </c>
      <c r="R72" s="84" t="s">
        <v>292</v>
      </c>
      <c r="S72" s="84" t="s">
        <v>1130</v>
      </c>
      <c r="T72" s="90" t="str">
        <f>HYPERLINK("http://www.youtube.com/channel/UCswmRNiUXzVF_uC4MuE1dWw")</f>
        <v>http://www.youtube.com/channel/UCswmRNiUXzVF_uC4MuE1dWw</v>
      </c>
      <c r="U72" s="84"/>
      <c r="V72" s="84" t="s">
        <v>1459</v>
      </c>
      <c r="W72" s="90" t="str">
        <f>HYPERLINK("https://www.youtube.com/watch?v=g-uBNYawlxU")</f>
        <v>https://www.youtube.com/watch?v=g-uBNYawlxU</v>
      </c>
      <c r="X72" s="84" t="s">
        <v>1537</v>
      </c>
      <c r="Y72" s="84">
        <v>1</v>
      </c>
      <c r="Z72" s="84" t="s">
        <v>1574</v>
      </c>
      <c r="AA72" s="84" t="s">
        <v>1574</v>
      </c>
      <c r="AB72" s="84"/>
      <c r="AC72" s="84"/>
      <c r="AD72" s="88" t="s">
        <v>1874</v>
      </c>
      <c r="AE72" s="86">
        <v>1</v>
      </c>
      <c r="AF72" s="87" t="str">
        <f>REPLACE(INDEX(GroupVertices[Group],MATCH(Edges[[#This Row],[Vertex 1]],GroupVertices[Vertex],0)),1,1,"")</f>
        <v>4</v>
      </c>
      <c r="AG72" s="87" t="str">
        <f>REPLACE(INDEX(GroupVertices[Group],MATCH(Edges[[#This Row],[Vertex 2]],GroupVertices[Vertex],0)),1,1,"")</f>
        <v>4</v>
      </c>
      <c r="AH72" s="105"/>
      <c r="AI72" s="105"/>
      <c r="AJ72" s="105"/>
      <c r="AK72" s="105"/>
      <c r="AL72" s="105"/>
      <c r="AM72" s="105"/>
      <c r="AN72" s="105"/>
      <c r="AO72" s="105"/>
      <c r="AP72" s="105"/>
    </row>
    <row r="73" spans="1:42" ht="15">
      <c r="A73" s="61" t="s">
        <v>293</v>
      </c>
      <c r="B73" s="61" t="s">
        <v>614</v>
      </c>
      <c r="C73" s="62" t="s">
        <v>2891</v>
      </c>
      <c r="D73" s="63">
        <v>5</v>
      </c>
      <c r="E73" s="62"/>
      <c r="F73" s="65">
        <v>25</v>
      </c>
      <c r="G73" s="62"/>
      <c r="H73" s="66"/>
      <c r="I73" s="67"/>
      <c r="J73" s="67"/>
      <c r="K73" s="31" t="s">
        <v>65</v>
      </c>
      <c r="L73" s="68">
        <v>73</v>
      </c>
      <c r="M73" s="68"/>
      <c r="N73" s="69"/>
      <c r="O73" s="84" t="s">
        <v>653</v>
      </c>
      <c r="P73" s="84" t="s">
        <v>215</v>
      </c>
      <c r="Q73" s="88" t="s">
        <v>724</v>
      </c>
      <c r="R73" s="84" t="s">
        <v>293</v>
      </c>
      <c r="S73" s="84" t="s">
        <v>1131</v>
      </c>
      <c r="T73" s="90" t="str">
        <f>HYPERLINK("http://www.youtube.com/channel/UC45AoGgZyWrW0zhS3Q-WRyw")</f>
        <v>http://www.youtube.com/channel/UC45AoGgZyWrW0zhS3Q-WRyw</v>
      </c>
      <c r="U73" s="84"/>
      <c r="V73" s="84" t="s">
        <v>1459</v>
      </c>
      <c r="W73" s="90" t="str">
        <f>HYPERLINK("https://www.youtube.com/watch?v=g-uBNYawlxU")</f>
        <v>https://www.youtube.com/watch?v=g-uBNYawlxU</v>
      </c>
      <c r="X73" s="84" t="s">
        <v>1537</v>
      </c>
      <c r="Y73" s="84">
        <v>0</v>
      </c>
      <c r="Z73" s="84" t="s">
        <v>1575</v>
      </c>
      <c r="AA73" s="84" t="s">
        <v>1575</v>
      </c>
      <c r="AB73" s="84"/>
      <c r="AC73" s="84"/>
      <c r="AD73" s="88" t="s">
        <v>1874</v>
      </c>
      <c r="AE73" s="86">
        <v>1</v>
      </c>
      <c r="AF73" s="87" t="str">
        <f>REPLACE(INDEX(GroupVertices[Group],MATCH(Edges[[#This Row],[Vertex 1]],GroupVertices[Vertex],0)),1,1,"")</f>
        <v>4</v>
      </c>
      <c r="AG73" s="87" t="str">
        <f>REPLACE(INDEX(GroupVertices[Group],MATCH(Edges[[#This Row],[Vertex 2]],GroupVertices[Vertex],0)),1,1,"")</f>
        <v>4</v>
      </c>
      <c r="AH73" s="105"/>
      <c r="AI73" s="105"/>
      <c r="AJ73" s="105"/>
      <c r="AK73" s="105"/>
      <c r="AL73" s="105"/>
      <c r="AM73" s="105"/>
      <c r="AN73" s="105"/>
      <c r="AO73" s="105"/>
      <c r="AP73" s="105"/>
    </row>
    <row r="74" spans="1:42" ht="15">
      <c r="A74" s="61" t="s">
        <v>294</v>
      </c>
      <c r="B74" s="61" t="s">
        <v>614</v>
      </c>
      <c r="C74" s="62" t="s">
        <v>2892</v>
      </c>
      <c r="D74" s="63">
        <v>5.833333333333333</v>
      </c>
      <c r="E74" s="62"/>
      <c r="F74" s="65">
        <v>15</v>
      </c>
      <c r="G74" s="62"/>
      <c r="H74" s="66"/>
      <c r="I74" s="67"/>
      <c r="J74" s="67"/>
      <c r="K74" s="31" t="s">
        <v>65</v>
      </c>
      <c r="L74" s="68">
        <v>74</v>
      </c>
      <c r="M74" s="68"/>
      <c r="N74" s="69"/>
      <c r="O74" s="84" t="s">
        <v>653</v>
      </c>
      <c r="P74" s="84" t="s">
        <v>215</v>
      </c>
      <c r="Q74" s="88" t="s">
        <v>725</v>
      </c>
      <c r="R74" s="84" t="s">
        <v>294</v>
      </c>
      <c r="S74" s="84" t="s">
        <v>1132</v>
      </c>
      <c r="T74" s="90" t="str">
        <f>HYPERLINK("http://www.youtube.com/channel/UCrjpgaTooj-Ar76N7gwpjtw")</f>
        <v>http://www.youtube.com/channel/UCrjpgaTooj-Ar76N7gwpjtw</v>
      </c>
      <c r="U74" s="84"/>
      <c r="V74" s="84" t="s">
        <v>1459</v>
      </c>
      <c r="W74" s="90" t="str">
        <f>HYPERLINK("https://www.youtube.com/watch?v=g-uBNYawlxU")</f>
        <v>https://www.youtube.com/watch?v=g-uBNYawlxU</v>
      </c>
      <c r="X74" s="84" t="s">
        <v>1537</v>
      </c>
      <c r="Y74" s="84">
        <v>3</v>
      </c>
      <c r="Z74" s="84" t="s">
        <v>1576</v>
      </c>
      <c r="AA74" s="84" t="s">
        <v>1576</v>
      </c>
      <c r="AB74" s="84"/>
      <c r="AC74" s="84"/>
      <c r="AD74" s="88" t="s">
        <v>1874</v>
      </c>
      <c r="AE74" s="86">
        <v>2</v>
      </c>
      <c r="AF74" s="87" t="str">
        <f>REPLACE(INDEX(GroupVertices[Group],MATCH(Edges[[#This Row],[Vertex 1]],GroupVertices[Vertex],0)),1,1,"")</f>
        <v>4</v>
      </c>
      <c r="AG74" s="87" t="str">
        <f>REPLACE(INDEX(GroupVertices[Group],MATCH(Edges[[#This Row],[Vertex 2]],GroupVertices[Vertex],0)),1,1,"")</f>
        <v>4</v>
      </c>
      <c r="AH74" s="105"/>
      <c r="AI74" s="105"/>
      <c r="AJ74" s="105"/>
      <c r="AK74" s="105"/>
      <c r="AL74" s="105"/>
      <c r="AM74" s="105"/>
      <c r="AN74" s="105"/>
      <c r="AO74" s="105"/>
      <c r="AP74" s="105"/>
    </row>
    <row r="75" spans="1:42" ht="15">
      <c r="A75" s="61" t="s">
        <v>294</v>
      </c>
      <c r="B75" s="61" t="s">
        <v>614</v>
      </c>
      <c r="C75" s="62" t="s">
        <v>2892</v>
      </c>
      <c r="D75" s="63">
        <v>5.833333333333333</v>
      </c>
      <c r="E75" s="62"/>
      <c r="F75" s="65">
        <v>15</v>
      </c>
      <c r="G75" s="62"/>
      <c r="H75" s="66"/>
      <c r="I75" s="67"/>
      <c r="J75" s="67"/>
      <c r="K75" s="31" t="s">
        <v>65</v>
      </c>
      <c r="L75" s="68">
        <v>75</v>
      </c>
      <c r="M75" s="68"/>
      <c r="N75" s="69"/>
      <c r="O75" s="84" t="s">
        <v>653</v>
      </c>
      <c r="P75" s="84" t="s">
        <v>215</v>
      </c>
      <c r="Q75" s="88" t="s">
        <v>726</v>
      </c>
      <c r="R75" s="84" t="s">
        <v>294</v>
      </c>
      <c r="S75" s="84" t="s">
        <v>1132</v>
      </c>
      <c r="T75" s="90" t="str">
        <f>HYPERLINK("http://www.youtube.com/channel/UCrjpgaTooj-Ar76N7gwpjtw")</f>
        <v>http://www.youtube.com/channel/UCrjpgaTooj-Ar76N7gwpjtw</v>
      </c>
      <c r="U75" s="84"/>
      <c r="V75" s="84" t="s">
        <v>1459</v>
      </c>
      <c r="W75" s="90" t="str">
        <f>HYPERLINK("https://www.youtube.com/watch?v=g-uBNYawlxU")</f>
        <v>https://www.youtube.com/watch?v=g-uBNYawlxU</v>
      </c>
      <c r="X75" s="84" t="s">
        <v>1537</v>
      </c>
      <c r="Y75" s="84">
        <v>6</v>
      </c>
      <c r="Z75" s="84" t="s">
        <v>1577</v>
      </c>
      <c r="AA75" s="84" t="s">
        <v>1577</v>
      </c>
      <c r="AB75" s="84"/>
      <c r="AC75" s="84"/>
      <c r="AD75" s="88" t="s">
        <v>1874</v>
      </c>
      <c r="AE75" s="86">
        <v>2</v>
      </c>
      <c r="AF75" s="87" t="str">
        <f>REPLACE(INDEX(GroupVertices[Group],MATCH(Edges[[#This Row],[Vertex 1]],GroupVertices[Vertex],0)),1,1,"")</f>
        <v>4</v>
      </c>
      <c r="AG75" s="87" t="str">
        <f>REPLACE(INDEX(GroupVertices[Group],MATCH(Edges[[#This Row],[Vertex 2]],GroupVertices[Vertex],0)),1,1,"")</f>
        <v>4</v>
      </c>
      <c r="AH75" s="105"/>
      <c r="AI75" s="105"/>
      <c r="AJ75" s="105"/>
      <c r="AK75" s="105"/>
      <c r="AL75" s="105"/>
      <c r="AM75" s="105"/>
      <c r="AN75" s="105"/>
      <c r="AO75" s="105"/>
      <c r="AP75" s="105"/>
    </row>
    <row r="76" spans="1:42" ht="15">
      <c r="A76" s="61" t="s">
        <v>295</v>
      </c>
      <c r="B76" s="61" t="s">
        <v>614</v>
      </c>
      <c r="C76" s="62" t="s">
        <v>2892</v>
      </c>
      <c r="D76" s="63">
        <v>5.833333333333333</v>
      </c>
      <c r="E76" s="62"/>
      <c r="F76" s="65">
        <v>15</v>
      </c>
      <c r="G76" s="62"/>
      <c r="H76" s="66"/>
      <c r="I76" s="67"/>
      <c r="J76" s="67"/>
      <c r="K76" s="31" t="s">
        <v>65</v>
      </c>
      <c r="L76" s="68">
        <v>76</v>
      </c>
      <c r="M76" s="68"/>
      <c r="N76" s="69"/>
      <c r="O76" s="84" t="s">
        <v>653</v>
      </c>
      <c r="P76" s="84" t="s">
        <v>215</v>
      </c>
      <c r="Q76" s="88" t="s">
        <v>727</v>
      </c>
      <c r="R76" s="84" t="s">
        <v>295</v>
      </c>
      <c r="S76" s="84" t="s">
        <v>1133</v>
      </c>
      <c r="T76" s="90" t="str">
        <f>HYPERLINK("http://www.youtube.com/channel/UCZzREx42uKVp4t8DHR9syDA")</f>
        <v>http://www.youtube.com/channel/UCZzREx42uKVp4t8DHR9syDA</v>
      </c>
      <c r="U76" s="84"/>
      <c r="V76" s="84" t="s">
        <v>1459</v>
      </c>
      <c r="W76" s="90" t="str">
        <f>HYPERLINK("https://www.youtube.com/watch?v=g-uBNYawlxU")</f>
        <v>https://www.youtube.com/watch?v=g-uBNYawlxU</v>
      </c>
      <c r="X76" s="84" t="s">
        <v>1537</v>
      </c>
      <c r="Y76" s="84">
        <v>3</v>
      </c>
      <c r="Z76" s="84" t="s">
        <v>1578</v>
      </c>
      <c r="AA76" s="84" t="s">
        <v>1578</v>
      </c>
      <c r="AB76" s="84"/>
      <c r="AC76" s="84"/>
      <c r="AD76" s="88" t="s">
        <v>1874</v>
      </c>
      <c r="AE76" s="86">
        <v>2</v>
      </c>
      <c r="AF76" s="87" t="str">
        <f>REPLACE(INDEX(GroupVertices[Group],MATCH(Edges[[#This Row],[Vertex 1]],GroupVertices[Vertex],0)),1,1,"")</f>
        <v>4</v>
      </c>
      <c r="AG76" s="87" t="str">
        <f>REPLACE(INDEX(GroupVertices[Group],MATCH(Edges[[#This Row],[Vertex 2]],GroupVertices[Vertex],0)),1,1,"")</f>
        <v>4</v>
      </c>
      <c r="AH76" s="105"/>
      <c r="AI76" s="105"/>
      <c r="AJ76" s="105"/>
      <c r="AK76" s="105"/>
      <c r="AL76" s="105"/>
      <c r="AM76" s="105"/>
      <c r="AN76" s="105"/>
      <c r="AO76" s="105"/>
      <c r="AP76" s="105"/>
    </row>
    <row r="77" spans="1:42" ht="15">
      <c r="A77" s="61" t="s">
        <v>295</v>
      </c>
      <c r="B77" s="61" t="s">
        <v>614</v>
      </c>
      <c r="C77" s="62" t="s">
        <v>2892</v>
      </c>
      <c r="D77" s="63">
        <v>5.833333333333333</v>
      </c>
      <c r="E77" s="62"/>
      <c r="F77" s="65">
        <v>15</v>
      </c>
      <c r="G77" s="62"/>
      <c r="H77" s="66"/>
      <c r="I77" s="67"/>
      <c r="J77" s="67"/>
      <c r="K77" s="31" t="s">
        <v>65</v>
      </c>
      <c r="L77" s="68">
        <v>77</v>
      </c>
      <c r="M77" s="68"/>
      <c r="N77" s="69"/>
      <c r="O77" s="84" t="s">
        <v>653</v>
      </c>
      <c r="P77" s="84" t="s">
        <v>215</v>
      </c>
      <c r="Q77" s="88" t="s">
        <v>728</v>
      </c>
      <c r="R77" s="84" t="s">
        <v>295</v>
      </c>
      <c r="S77" s="84" t="s">
        <v>1133</v>
      </c>
      <c r="T77" s="90" t="str">
        <f>HYPERLINK("http://www.youtube.com/channel/UCZzREx42uKVp4t8DHR9syDA")</f>
        <v>http://www.youtube.com/channel/UCZzREx42uKVp4t8DHR9syDA</v>
      </c>
      <c r="U77" s="84"/>
      <c r="V77" s="84" t="s">
        <v>1459</v>
      </c>
      <c r="W77" s="90" t="str">
        <f>HYPERLINK("https://www.youtube.com/watch?v=g-uBNYawlxU")</f>
        <v>https://www.youtube.com/watch?v=g-uBNYawlxU</v>
      </c>
      <c r="X77" s="84" t="s">
        <v>1537</v>
      </c>
      <c r="Y77" s="84">
        <v>3</v>
      </c>
      <c r="Z77" s="84" t="s">
        <v>1579</v>
      </c>
      <c r="AA77" s="84" t="s">
        <v>1579</v>
      </c>
      <c r="AB77" s="84"/>
      <c r="AC77" s="84"/>
      <c r="AD77" s="88" t="s">
        <v>1874</v>
      </c>
      <c r="AE77" s="86">
        <v>2</v>
      </c>
      <c r="AF77" s="87" t="str">
        <f>REPLACE(INDEX(GroupVertices[Group],MATCH(Edges[[#This Row],[Vertex 1]],GroupVertices[Vertex],0)),1,1,"")</f>
        <v>4</v>
      </c>
      <c r="AG77" s="87" t="str">
        <f>REPLACE(INDEX(GroupVertices[Group],MATCH(Edges[[#This Row],[Vertex 2]],GroupVertices[Vertex],0)),1,1,"")</f>
        <v>4</v>
      </c>
      <c r="AH77" s="105"/>
      <c r="AI77" s="105"/>
      <c r="AJ77" s="105"/>
      <c r="AK77" s="105"/>
      <c r="AL77" s="105"/>
      <c r="AM77" s="105"/>
      <c r="AN77" s="105"/>
      <c r="AO77" s="105"/>
      <c r="AP77" s="105"/>
    </row>
    <row r="78" spans="1:42" ht="15">
      <c r="A78" s="61" t="s">
        <v>296</v>
      </c>
      <c r="B78" s="61" t="s">
        <v>614</v>
      </c>
      <c r="C78" s="62" t="s">
        <v>2891</v>
      </c>
      <c r="D78" s="63">
        <v>5</v>
      </c>
      <c r="E78" s="62"/>
      <c r="F78" s="65">
        <v>25</v>
      </c>
      <c r="G78" s="62"/>
      <c r="H78" s="66"/>
      <c r="I78" s="67"/>
      <c r="J78" s="67"/>
      <c r="K78" s="31" t="s">
        <v>65</v>
      </c>
      <c r="L78" s="68">
        <v>78</v>
      </c>
      <c r="M78" s="68"/>
      <c r="N78" s="69"/>
      <c r="O78" s="84" t="s">
        <v>653</v>
      </c>
      <c r="P78" s="84" t="s">
        <v>215</v>
      </c>
      <c r="Q78" s="88" t="s">
        <v>729</v>
      </c>
      <c r="R78" s="84" t="s">
        <v>296</v>
      </c>
      <c r="S78" s="84" t="s">
        <v>1134</v>
      </c>
      <c r="T78" s="90" t="str">
        <f>HYPERLINK("http://www.youtube.com/channel/UCvA7Qp20pFtHnFx1oqhAtXA")</f>
        <v>http://www.youtube.com/channel/UCvA7Qp20pFtHnFx1oqhAtXA</v>
      </c>
      <c r="U78" s="84"/>
      <c r="V78" s="84" t="s">
        <v>1459</v>
      </c>
      <c r="W78" s="90" t="str">
        <f>HYPERLINK("https://www.youtube.com/watch?v=g-uBNYawlxU")</f>
        <v>https://www.youtube.com/watch?v=g-uBNYawlxU</v>
      </c>
      <c r="X78" s="84" t="s">
        <v>1537</v>
      </c>
      <c r="Y78" s="84">
        <v>5</v>
      </c>
      <c r="Z78" s="93">
        <v>43902.80510416667</v>
      </c>
      <c r="AA78" s="93">
        <v>43902.80621527778</v>
      </c>
      <c r="AB78" s="84"/>
      <c r="AC78" s="84"/>
      <c r="AD78" s="88" t="s">
        <v>1874</v>
      </c>
      <c r="AE78" s="86">
        <v>1</v>
      </c>
      <c r="AF78" s="87" t="str">
        <f>REPLACE(INDEX(GroupVertices[Group],MATCH(Edges[[#This Row],[Vertex 1]],GroupVertices[Vertex],0)),1,1,"")</f>
        <v>4</v>
      </c>
      <c r="AG78" s="87" t="str">
        <f>REPLACE(INDEX(GroupVertices[Group],MATCH(Edges[[#This Row],[Vertex 2]],GroupVertices[Vertex],0)),1,1,"")</f>
        <v>4</v>
      </c>
      <c r="AH78" s="105"/>
      <c r="AI78" s="105"/>
      <c r="AJ78" s="105"/>
      <c r="AK78" s="105"/>
      <c r="AL78" s="105"/>
      <c r="AM78" s="105"/>
      <c r="AN78" s="105"/>
      <c r="AO78" s="105"/>
      <c r="AP78" s="105"/>
    </row>
    <row r="79" spans="1:42" ht="15">
      <c r="A79" s="61" t="s">
        <v>297</v>
      </c>
      <c r="B79" s="61" t="s">
        <v>614</v>
      </c>
      <c r="C79" s="62" t="s">
        <v>2891</v>
      </c>
      <c r="D79" s="63">
        <v>5</v>
      </c>
      <c r="E79" s="62"/>
      <c r="F79" s="65">
        <v>25</v>
      </c>
      <c r="G79" s="62"/>
      <c r="H79" s="66"/>
      <c r="I79" s="67"/>
      <c r="J79" s="67"/>
      <c r="K79" s="31" t="s">
        <v>65</v>
      </c>
      <c r="L79" s="68">
        <v>79</v>
      </c>
      <c r="M79" s="68"/>
      <c r="N79" s="69"/>
      <c r="O79" s="84" t="s">
        <v>653</v>
      </c>
      <c r="P79" s="84" t="s">
        <v>215</v>
      </c>
      <c r="Q79" s="88" t="s">
        <v>730</v>
      </c>
      <c r="R79" s="84" t="s">
        <v>297</v>
      </c>
      <c r="S79" s="84" t="s">
        <v>1135</v>
      </c>
      <c r="T79" s="90" t="str">
        <f>HYPERLINK("http://www.youtube.com/channel/UCGXvahpJZ8DpiwAjP22Kxkw")</f>
        <v>http://www.youtube.com/channel/UCGXvahpJZ8DpiwAjP22Kxkw</v>
      </c>
      <c r="U79" s="84"/>
      <c r="V79" s="84" t="s">
        <v>1459</v>
      </c>
      <c r="W79" s="90" t="str">
        <f>HYPERLINK("https://www.youtube.com/watch?v=g-uBNYawlxU")</f>
        <v>https://www.youtube.com/watch?v=g-uBNYawlxU</v>
      </c>
      <c r="X79" s="84" t="s">
        <v>1537</v>
      </c>
      <c r="Y79" s="84">
        <v>0</v>
      </c>
      <c r="Z79" s="93">
        <v>44235.74497685185</v>
      </c>
      <c r="AA79" s="93">
        <v>44235.74497685185</v>
      </c>
      <c r="AB79" s="84"/>
      <c r="AC79" s="84"/>
      <c r="AD79" s="88" t="s">
        <v>1874</v>
      </c>
      <c r="AE79" s="86">
        <v>1</v>
      </c>
      <c r="AF79" s="87" t="str">
        <f>REPLACE(INDEX(GroupVertices[Group],MATCH(Edges[[#This Row],[Vertex 1]],GroupVertices[Vertex],0)),1,1,"")</f>
        <v>4</v>
      </c>
      <c r="AG79" s="87" t="str">
        <f>REPLACE(INDEX(GroupVertices[Group],MATCH(Edges[[#This Row],[Vertex 2]],GroupVertices[Vertex],0)),1,1,"")</f>
        <v>4</v>
      </c>
      <c r="AH79" s="105"/>
      <c r="AI79" s="105"/>
      <c r="AJ79" s="105"/>
      <c r="AK79" s="105"/>
      <c r="AL79" s="105"/>
      <c r="AM79" s="105"/>
      <c r="AN79" s="105"/>
      <c r="AO79" s="105"/>
      <c r="AP79" s="105"/>
    </row>
    <row r="80" spans="1:42" ht="15">
      <c r="A80" s="61" t="s">
        <v>298</v>
      </c>
      <c r="B80" s="61" t="s">
        <v>614</v>
      </c>
      <c r="C80" s="62" t="s">
        <v>2891</v>
      </c>
      <c r="D80" s="63">
        <v>5</v>
      </c>
      <c r="E80" s="62"/>
      <c r="F80" s="65">
        <v>25</v>
      </c>
      <c r="G80" s="62"/>
      <c r="H80" s="66"/>
      <c r="I80" s="67"/>
      <c r="J80" s="67"/>
      <c r="K80" s="31" t="s">
        <v>65</v>
      </c>
      <c r="L80" s="68">
        <v>80</v>
      </c>
      <c r="M80" s="68"/>
      <c r="N80" s="69"/>
      <c r="O80" s="84" t="s">
        <v>653</v>
      </c>
      <c r="P80" s="84" t="s">
        <v>215</v>
      </c>
      <c r="Q80" s="88" t="s">
        <v>731</v>
      </c>
      <c r="R80" s="84" t="s">
        <v>298</v>
      </c>
      <c r="S80" s="84" t="s">
        <v>1136</v>
      </c>
      <c r="T80" s="90" t="str">
        <f>HYPERLINK("http://www.youtube.com/channel/UCAcSQIhVSNA0EuCKCVwlUiw")</f>
        <v>http://www.youtube.com/channel/UCAcSQIhVSNA0EuCKCVwlUiw</v>
      </c>
      <c r="U80" s="84"/>
      <c r="V80" s="84" t="s">
        <v>1459</v>
      </c>
      <c r="W80" s="90" t="str">
        <f>HYPERLINK("https://www.youtube.com/watch?v=g-uBNYawlxU")</f>
        <v>https://www.youtube.com/watch?v=g-uBNYawlxU</v>
      </c>
      <c r="X80" s="84" t="s">
        <v>1537</v>
      </c>
      <c r="Y80" s="84">
        <v>0</v>
      </c>
      <c r="Z80" s="93">
        <v>44512.86256944444</v>
      </c>
      <c r="AA80" s="93">
        <v>44512.86256944444</v>
      </c>
      <c r="AB80" s="84"/>
      <c r="AC80" s="84"/>
      <c r="AD80" s="88" t="s">
        <v>1874</v>
      </c>
      <c r="AE80" s="86">
        <v>1</v>
      </c>
      <c r="AF80" s="87" t="str">
        <f>REPLACE(INDEX(GroupVertices[Group],MATCH(Edges[[#This Row],[Vertex 1]],GroupVertices[Vertex],0)),1,1,"")</f>
        <v>4</v>
      </c>
      <c r="AG80" s="87" t="str">
        <f>REPLACE(INDEX(GroupVertices[Group],MATCH(Edges[[#This Row],[Vertex 2]],GroupVertices[Vertex],0)),1,1,"")</f>
        <v>4</v>
      </c>
      <c r="AH80" s="105"/>
      <c r="AI80" s="105"/>
      <c r="AJ80" s="105"/>
      <c r="AK80" s="105"/>
      <c r="AL80" s="105"/>
      <c r="AM80" s="105"/>
      <c r="AN80" s="105"/>
      <c r="AO80" s="105"/>
      <c r="AP80" s="105"/>
    </row>
    <row r="81" spans="1:42" ht="15">
      <c r="A81" s="61" t="s">
        <v>299</v>
      </c>
      <c r="B81" s="61" t="s">
        <v>619</v>
      </c>
      <c r="C81" s="62" t="s">
        <v>2891</v>
      </c>
      <c r="D81" s="63">
        <v>5</v>
      </c>
      <c r="E81" s="62"/>
      <c r="F81" s="65">
        <v>25</v>
      </c>
      <c r="G81" s="62"/>
      <c r="H81" s="66"/>
      <c r="I81" s="67"/>
      <c r="J81" s="67"/>
      <c r="K81" s="31" t="s">
        <v>65</v>
      </c>
      <c r="L81" s="68">
        <v>81</v>
      </c>
      <c r="M81" s="68"/>
      <c r="N81" s="69"/>
      <c r="O81" s="84" t="s">
        <v>653</v>
      </c>
      <c r="P81" s="84" t="s">
        <v>215</v>
      </c>
      <c r="Q81" s="88" t="s">
        <v>732</v>
      </c>
      <c r="R81" s="84" t="s">
        <v>299</v>
      </c>
      <c r="S81" s="84" t="s">
        <v>1137</v>
      </c>
      <c r="T81" s="90" t="str">
        <f>HYPERLINK("http://www.youtube.com/channel/UCh1ZsbfioSYZ54V8mfZzfQg")</f>
        <v>http://www.youtube.com/channel/UCh1ZsbfioSYZ54V8mfZzfQg</v>
      </c>
      <c r="U81" s="84"/>
      <c r="V81" s="84" t="s">
        <v>1460</v>
      </c>
      <c r="W81" s="90" t="str">
        <f>HYPERLINK("https://www.youtube.com/watch?v=5XN-nzpol-A")</f>
        <v>https://www.youtube.com/watch?v=5XN-nzpol-A</v>
      </c>
      <c r="X81" s="84" t="s">
        <v>1537</v>
      </c>
      <c r="Y81" s="84">
        <v>1</v>
      </c>
      <c r="Z81" s="93">
        <v>44845.5471875</v>
      </c>
      <c r="AA81" s="93">
        <v>44845.5471875</v>
      </c>
      <c r="AB81" s="84"/>
      <c r="AC81" s="84"/>
      <c r="AD81" s="88" t="s">
        <v>1874</v>
      </c>
      <c r="AE81" s="86">
        <v>1</v>
      </c>
      <c r="AF81" s="87" t="str">
        <f>REPLACE(INDEX(GroupVertices[Group],MATCH(Edges[[#This Row],[Vertex 1]],GroupVertices[Vertex],0)),1,1,"")</f>
        <v>19</v>
      </c>
      <c r="AG81" s="87" t="str">
        <f>REPLACE(INDEX(GroupVertices[Group],MATCH(Edges[[#This Row],[Vertex 2]],GroupVertices[Vertex],0)),1,1,"")</f>
        <v>19</v>
      </c>
      <c r="AH81" s="105"/>
      <c r="AI81" s="105"/>
      <c r="AJ81" s="105"/>
      <c r="AK81" s="105"/>
      <c r="AL81" s="105"/>
      <c r="AM81" s="105"/>
      <c r="AN81" s="105"/>
      <c r="AO81" s="105"/>
      <c r="AP81" s="105"/>
    </row>
    <row r="82" spans="1:42" ht="15">
      <c r="A82" s="61" t="s">
        <v>300</v>
      </c>
      <c r="B82" s="61" t="s">
        <v>619</v>
      </c>
      <c r="C82" s="62" t="s">
        <v>2891</v>
      </c>
      <c r="D82" s="63">
        <v>5</v>
      </c>
      <c r="E82" s="62"/>
      <c r="F82" s="65">
        <v>25</v>
      </c>
      <c r="G82" s="62"/>
      <c r="H82" s="66"/>
      <c r="I82" s="67"/>
      <c r="J82" s="67"/>
      <c r="K82" s="31" t="s">
        <v>65</v>
      </c>
      <c r="L82" s="68">
        <v>82</v>
      </c>
      <c r="M82" s="68"/>
      <c r="N82" s="69"/>
      <c r="O82" s="84" t="s">
        <v>653</v>
      </c>
      <c r="P82" s="84" t="s">
        <v>215</v>
      </c>
      <c r="Q82" s="88" t="s">
        <v>733</v>
      </c>
      <c r="R82" s="84" t="s">
        <v>300</v>
      </c>
      <c r="S82" s="84" t="s">
        <v>1138</v>
      </c>
      <c r="T82" s="90" t="str">
        <f>HYPERLINK("http://www.youtube.com/channel/UCs8KfUDAdLWkqqGltG6mykQ")</f>
        <v>http://www.youtube.com/channel/UCs8KfUDAdLWkqqGltG6mykQ</v>
      </c>
      <c r="U82" s="84"/>
      <c r="V82" s="84" t="s">
        <v>1460</v>
      </c>
      <c r="W82" s="90" t="str">
        <f>HYPERLINK("https://www.youtube.com/watch?v=5XN-nzpol-A")</f>
        <v>https://www.youtube.com/watch?v=5XN-nzpol-A</v>
      </c>
      <c r="X82" s="84" t="s">
        <v>1537</v>
      </c>
      <c r="Y82" s="84">
        <v>1</v>
      </c>
      <c r="Z82" s="93">
        <v>44845.59809027778</v>
      </c>
      <c r="AA82" s="93">
        <v>44845.59809027778</v>
      </c>
      <c r="AB82" s="84"/>
      <c r="AC82" s="84"/>
      <c r="AD82" s="88" t="s">
        <v>1874</v>
      </c>
      <c r="AE82" s="86">
        <v>1</v>
      </c>
      <c r="AF82" s="87" t="str">
        <f>REPLACE(INDEX(GroupVertices[Group],MATCH(Edges[[#This Row],[Vertex 1]],GroupVertices[Vertex],0)),1,1,"")</f>
        <v>19</v>
      </c>
      <c r="AG82" s="87" t="str">
        <f>REPLACE(INDEX(GroupVertices[Group],MATCH(Edges[[#This Row],[Vertex 2]],GroupVertices[Vertex],0)),1,1,"")</f>
        <v>19</v>
      </c>
      <c r="AH82" s="105"/>
      <c r="AI82" s="105"/>
      <c r="AJ82" s="105"/>
      <c r="AK82" s="105"/>
      <c r="AL82" s="105"/>
      <c r="AM82" s="105"/>
      <c r="AN82" s="105"/>
      <c r="AO82" s="105"/>
      <c r="AP82" s="105"/>
    </row>
    <row r="83" spans="1:42" ht="15">
      <c r="A83" s="61" t="s">
        <v>301</v>
      </c>
      <c r="B83" s="61" t="s">
        <v>622</v>
      </c>
      <c r="C83" s="62" t="s">
        <v>2892</v>
      </c>
      <c r="D83" s="63">
        <v>5.833333333333333</v>
      </c>
      <c r="E83" s="62"/>
      <c r="F83" s="65">
        <v>15</v>
      </c>
      <c r="G83" s="62"/>
      <c r="H83" s="66"/>
      <c r="I83" s="67"/>
      <c r="J83" s="67"/>
      <c r="K83" s="31" t="s">
        <v>65</v>
      </c>
      <c r="L83" s="68">
        <v>83</v>
      </c>
      <c r="M83" s="68"/>
      <c r="N83" s="69"/>
      <c r="O83" s="84" t="s">
        <v>653</v>
      </c>
      <c r="P83" s="84" t="s">
        <v>215</v>
      </c>
      <c r="Q83" s="88" t="s">
        <v>734</v>
      </c>
      <c r="R83" s="84" t="s">
        <v>301</v>
      </c>
      <c r="S83" s="84" t="s">
        <v>1139</v>
      </c>
      <c r="T83" s="90" t="str">
        <f>HYPERLINK("http://www.youtube.com/channel/UCJira_a5E9_Er33S-dLTXOQ")</f>
        <v>http://www.youtube.com/channel/UCJira_a5E9_Er33S-dLTXOQ</v>
      </c>
      <c r="U83" s="84"/>
      <c r="V83" s="84" t="s">
        <v>1461</v>
      </c>
      <c r="W83" s="90" t="str">
        <f>HYPERLINK("https://www.youtube.com/watch?v=jaurWTKCNkc")</f>
        <v>https://www.youtube.com/watch?v=jaurWTKCNkc</v>
      </c>
      <c r="X83" s="84" t="s">
        <v>1537</v>
      </c>
      <c r="Y83" s="84">
        <v>12</v>
      </c>
      <c r="Z83" s="93">
        <v>43900.83980324074</v>
      </c>
      <c r="AA83" s="93">
        <v>43900.83980324074</v>
      </c>
      <c r="AB83" s="84"/>
      <c r="AC83" s="84"/>
      <c r="AD83" s="88" t="s">
        <v>1874</v>
      </c>
      <c r="AE83" s="86">
        <v>2</v>
      </c>
      <c r="AF83" s="87" t="str">
        <f>REPLACE(INDEX(GroupVertices[Group],MATCH(Edges[[#This Row],[Vertex 1]],GroupVertices[Vertex],0)),1,1,"")</f>
        <v>10</v>
      </c>
      <c r="AG83" s="87" t="str">
        <f>REPLACE(INDEX(GroupVertices[Group],MATCH(Edges[[#This Row],[Vertex 2]],GroupVertices[Vertex],0)),1,1,"")</f>
        <v>10</v>
      </c>
      <c r="AH83" s="105"/>
      <c r="AI83" s="105"/>
      <c r="AJ83" s="105"/>
      <c r="AK83" s="105"/>
      <c r="AL83" s="105"/>
      <c r="AM83" s="105"/>
      <c r="AN83" s="105"/>
      <c r="AO83" s="105"/>
      <c r="AP83" s="105"/>
    </row>
    <row r="84" spans="1:42" ht="15">
      <c r="A84" s="61" t="s">
        <v>301</v>
      </c>
      <c r="B84" s="61" t="s">
        <v>622</v>
      </c>
      <c r="C84" s="62" t="s">
        <v>2892</v>
      </c>
      <c r="D84" s="63">
        <v>5.833333333333333</v>
      </c>
      <c r="E84" s="62"/>
      <c r="F84" s="65">
        <v>15</v>
      </c>
      <c r="G84" s="62"/>
      <c r="H84" s="66"/>
      <c r="I84" s="67"/>
      <c r="J84" s="67"/>
      <c r="K84" s="31" t="s">
        <v>65</v>
      </c>
      <c r="L84" s="68">
        <v>84</v>
      </c>
      <c r="M84" s="68"/>
      <c r="N84" s="69"/>
      <c r="O84" s="84" t="s">
        <v>653</v>
      </c>
      <c r="P84" s="84" t="s">
        <v>215</v>
      </c>
      <c r="Q84" s="88" t="s">
        <v>735</v>
      </c>
      <c r="R84" s="84" t="s">
        <v>301</v>
      </c>
      <c r="S84" s="84" t="s">
        <v>1139</v>
      </c>
      <c r="T84" s="90" t="str">
        <f>HYPERLINK("http://www.youtube.com/channel/UCJira_a5E9_Er33S-dLTXOQ")</f>
        <v>http://www.youtube.com/channel/UCJira_a5E9_Er33S-dLTXOQ</v>
      </c>
      <c r="U84" s="84"/>
      <c r="V84" s="84" t="s">
        <v>1461</v>
      </c>
      <c r="W84" s="90" t="str">
        <f>HYPERLINK("https://www.youtube.com/watch?v=jaurWTKCNkc")</f>
        <v>https://www.youtube.com/watch?v=jaurWTKCNkc</v>
      </c>
      <c r="X84" s="84" t="s">
        <v>1537</v>
      </c>
      <c r="Y84" s="84">
        <v>17</v>
      </c>
      <c r="Z84" s="93">
        <v>43900.84111111111</v>
      </c>
      <c r="AA84" s="93">
        <v>43900.84111111111</v>
      </c>
      <c r="AB84" s="84"/>
      <c r="AC84" s="84"/>
      <c r="AD84" s="88" t="s">
        <v>1874</v>
      </c>
      <c r="AE84" s="86">
        <v>2</v>
      </c>
      <c r="AF84" s="87" t="str">
        <f>REPLACE(INDEX(GroupVertices[Group],MATCH(Edges[[#This Row],[Vertex 1]],GroupVertices[Vertex],0)),1,1,"")</f>
        <v>10</v>
      </c>
      <c r="AG84" s="87" t="str">
        <f>REPLACE(INDEX(GroupVertices[Group],MATCH(Edges[[#This Row],[Vertex 2]],GroupVertices[Vertex],0)),1,1,"")</f>
        <v>10</v>
      </c>
      <c r="AH84" s="105"/>
      <c r="AI84" s="105"/>
      <c r="AJ84" s="105"/>
      <c r="AK84" s="105"/>
      <c r="AL84" s="105"/>
      <c r="AM84" s="105"/>
      <c r="AN84" s="105"/>
      <c r="AO84" s="105"/>
      <c r="AP84" s="105"/>
    </row>
    <row r="85" spans="1:42" ht="15">
      <c r="A85" s="61" t="s">
        <v>302</v>
      </c>
      <c r="B85" s="61" t="s">
        <v>622</v>
      </c>
      <c r="C85" s="62" t="s">
        <v>2891</v>
      </c>
      <c r="D85" s="63">
        <v>5</v>
      </c>
      <c r="E85" s="62"/>
      <c r="F85" s="65">
        <v>25</v>
      </c>
      <c r="G85" s="62"/>
      <c r="H85" s="66"/>
      <c r="I85" s="67"/>
      <c r="J85" s="67"/>
      <c r="K85" s="31" t="s">
        <v>65</v>
      </c>
      <c r="L85" s="68">
        <v>85</v>
      </c>
      <c r="M85" s="68"/>
      <c r="N85" s="69"/>
      <c r="O85" s="84" t="s">
        <v>653</v>
      </c>
      <c r="P85" s="84" t="s">
        <v>215</v>
      </c>
      <c r="Q85" s="88" t="s">
        <v>736</v>
      </c>
      <c r="R85" s="84" t="s">
        <v>302</v>
      </c>
      <c r="S85" s="84" t="s">
        <v>1140</v>
      </c>
      <c r="T85" s="90" t="str">
        <f>HYPERLINK("http://www.youtube.com/channel/UCKdyxUtdVmwmDjyEbOkxc8Q")</f>
        <v>http://www.youtube.com/channel/UCKdyxUtdVmwmDjyEbOkxc8Q</v>
      </c>
      <c r="U85" s="84"/>
      <c r="V85" s="84" t="s">
        <v>1461</v>
      </c>
      <c r="W85" s="90" t="str">
        <f>HYPERLINK("https://www.youtube.com/watch?v=jaurWTKCNkc")</f>
        <v>https://www.youtube.com/watch?v=jaurWTKCNkc</v>
      </c>
      <c r="X85" s="84" t="s">
        <v>1537</v>
      </c>
      <c r="Y85" s="84">
        <v>4</v>
      </c>
      <c r="Z85" s="93">
        <v>43900.91641203704</v>
      </c>
      <c r="AA85" s="93">
        <v>43900.91641203704</v>
      </c>
      <c r="AB85" s="84"/>
      <c r="AC85" s="84"/>
      <c r="AD85" s="88" t="s">
        <v>1874</v>
      </c>
      <c r="AE85" s="86">
        <v>1</v>
      </c>
      <c r="AF85" s="87" t="str">
        <f>REPLACE(INDEX(GroupVertices[Group],MATCH(Edges[[#This Row],[Vertex 1]],GroupVertices[Vertex],0)),1,1,"")</f>
        <v>10</v>
      </c>
      <c r="AG85" s="87" t="str">
        <f>REPLACE(INDEX(GroupVertices[Group],MATCH(Edges[[#This Row],[Vertex 2]],GroupVertices[Vertex],0)),1,1,"")</f>
        <v>10</v>
      </c>
      <c r="AH85" s="105"/>
      <c r="AI85" s="105"/>
      <c r="AJ85" s="105"/>
      <c r="AK85" s="105"/>
      <c r="AL85" s="105"/>
      <c r="AM85" s="105"/>
      <c r="AN85" s="105"/>
      <c r="AO85" s="105"/>
      <c r="AP85" s="105"/>
    </row>
    <row r="86" spans="1:42" ht="15">
      <c r="A86" s="61" t="s">
        <v>303</v>
      </c>
      <c r="B86" s="61" t="s">
        <v>622</v>
      </c>
      <c r="C86" s="62" t="s">
        <v>2891</v>
      </c>
      <c r="D86" s="63">
        <v>5</v>
      </c>
      <c r="E86" s="62"/>
      <c r="F86" s="65">
        <v>25</v>
      </c>
      <c r="G86" s="62"/>
      <c r="H86" s="66"/>
      <c r="I86" s="67"/>
      <c r="J86" s="67"/>
      <c r="K86" s="31" t="s">
        <v>65</v>
      </c>
      <c r="L86" s="68">
        <v>86</v>
      </c>
      <c r="M86" s="68"/>
      <c r="N86" s="69"/>
      <c r="O86" s="84" t="s">
        <v>653</v>
      </c>
      <c r="P86" s="84" t="s">
        <v>215</v>
      </c>
      <c r="Q86" s="88" t="s">
        <v>737</v>
      </c>
      <c r="R86" s="84" t="s">
        <v>303</v>
      </c>
      <c r="S86" s="84" t="s">
        <v>1141</v>
      </c>
      <c r="T86" s="90" t="str">
        <f>HYPERLINK("http://www.youtube.com/channel/UCvN1q4Dzs91ltXmTQndq7Lw")</f>
        <v>http://www.youtube.com/channel/UCvN1q4Dzs91ltXmTQndq7Lw</v>
      </c>
      <c r="U86" s="84"/>
      <c r="V86" s="84" t="s">
        <v>1461</v>
      </c>
      <c r="W86" s="90" t="str">
        <f>HYPERLINK("https://www.youtube.com/watch?v=jaurWTKCNkc")</f>
        <v>https://www.youtube.com/watch?v=jaurWTKCNkc</v>
      </c>
      <c r="X86" s="84" t="s">
        <v>1537</v>
      </c>
      <c r="Y86" s="84">
        <v>4</v>
      </c>
      <c r="Z86" s="93">
        <v>43900.94428240741</v>
      </c>
      <c r="AA86" s="93">
        <v>43900.94428240741</v>
      </c>
      <c r="AB86" s="84"/>
      <c r="AC86" s="84"/>
      <c r="AD86" s="88" t="s">
        <v>1874</v>
      </c>
      <c r="AE86" s="86">
        <v>1</v>
      </c>
      <c r="AF86" s="87" t="str">
        <f>REPLACE(INDEX(GroupVertices[Group],MATCH(Edges[[#This Row],[Vertex 1]],GroupVertices[Vertex],0)),1,1,"")</f>
        <v>10</v>
      </c>
      <c r="AG86" s="87" t="str">
        <f>REPLACE(INDEX(GroupVertices[Group],MATCH(Edges[[#This Row],[Vertex 2]],GroupVertices[Vertex],0)),1,1,"")</f>
        <v>10</v>
      </c>
      <c r="AH86" s="105"/>
      <c r="AI86" s="105"/>
      <c r="AJ86" s="105"/>
      <c r="AK86" s="105"/>
      <c r="AL86" s="105"/>
      <c r="AM86" s="105"/>
      <c r="AN86" s="105"/>
      <c r="AO86" s="105"/>
      <c r="AP86" s="105"/>
    </row>
    <row r="87" spans="1:42" ht="15">
      <c r="A87" s="61" t="s">
        <v>304</v>
      </c>
      <c r="B87" s="61" t="s">
        <v>622</v>
      </c>
      <c r="C87" s="62" t="s">
        <v>2891</v>
      </c>
      <c r="D87" s="63">
        <v>5</v>
      </c>
      <c r="E87" s="62"/>
      <c r="F87" s="65">
        <v>25</v>
      </c>
      <c r="G87" s="62"/>
      <c r="H87" s="66"/>
      <c r="I87" s="67"/>
      <c r="J87" s="67"/>
      <c r="K87" s="31" t="s">
        <v>65</v>
      </c>
      <c r="L87" s="68">
        <v>87</v>
      </c>
      <c r="M87" s="68"/>
      <c r="N87" s="69"/>
      <c r="O87" s="84" t="s">
        <v>653</v>
      </c>
      <c r="P87" s="84" t="s">
        <v>215</v>
      </c>
      <c r="Q87" s="88" t="s">
        <v>738</v>
      </c>
      <c r="R87" s="84" t="s">
        <v>304</v>
      </c>
      <c r="S87" s="84" t="s">
        <v>1142</v>
      </c>
      <c r="T87" s="90" t="str">
        <f>HYPERLINK("http://www.youtube.com/channel/UC_I1UfRImmzpJVCelpwYghQ")</f>
        <v>http://www.youtube.com/channel/UC_I1UfRImmzpJVCelpwYghQ</v>
      </c>
      <c r="U87" s="84"/>
      <c r="V87" s="84" t="s">
        <v>1461</v>
      </c>
      <c r="W87" s="90" t="str">
        <f>HYPERLINK("https://www.youtube.com/watch?v=jaurWTKCNkc")</f>
        <v>https://www.youtube.com/watch?v=jaurWTKCNkc</v>
      </c>
      <c r="X87" s="84" t="s">
        <v>1537</v>
      </c>
      <c r="Y87" s="84">
        <v>5</v>
      </c>
      <c r="Z87" s="93">
        <v>43931.10359953704</v>
      </c>
      <c r="AA87" s="93">
        <v>43931.10359953704</v>
      </c>
      <c r="AB87" s="84"/>
      <c r="AC87" s="84"/>
      <c r="AD87" s="88" t="s">
        <v>1874</v>
      </c>
      <c r="AE87" s="86">
        <v>1</v>
      </c>
      <c r="AF87" s="87" t="str">
        <f>REPLACE(INDEX(GroupVertices[Group],MATCH(Edges[[#This Row],[Vertex 1]],GroupVertices[Vertex],0)),1,1,"")</f>
        <v>10</v>
      </c>
      <c r="AG87" s="87" t="str">
        <f>REPLACE(INDEX(GroupVertices[Group],MATCH(Edges[[#This Row],[Vertex 2]],GroupVertices[Vertex],0)),1,1,"")</f>
        <v>10</v>
      </c>
      <c r="AH87" s="105"/>
      <c r="AI87" s="105"/>
      <c r="AJ87" s="105"/>
      <c r="AK87" s="105"/>
      <c r="AL87" s="105"/>
      <c r="AM87" s="105"/>
      <c r="AN87" s="105"/>
      <c r="AO87" s="105"/>
      <c r="AP87" s="105"/>
    </row>
    <row r="88" spans="1:42" ht="15">
      <c r="A88" s="61" t="s">
        <v>305</v>
      </c>
      <c r="B88" s="61" t="s">
        <v>622</v>
      </c>
      <c r="C88" s="62" t="s">
        <v>2892</v>
      </c>
      <c r="D88" s="63">
        <v>5.833333333333333</v>
      </c>
      <c r="E88" s="62"/>
      <c r="F88" s="65">
        <v>15</v>
      </c>
      <c r="G88" s="62"/>
      <c r="H88" s="66"/>
      <c r="I88" s="67"/>
      <c r="J88" s="67"/>
      <c r="K88" s="31" t="s">
        <v>65</v>
      </c>
      <c r="L88" s="68">
        <v>88</v>
      </c>
      <c r="M88" s="68"/>
      <c r="N88" s="69"/>
      <c r="O88" s="84" t="s">
        <v>653</v>
      </c>
      <c r="P88" s="84" t="s">
        <v>215</v>
      </c>
      <c r="Q88" s="88" t="s">
        <v>739</v>
      </c>
      <c r="R88" s="84" t="s">
        <v>305</v>
      </c>
      <c r="S88" s="84" t="s">
        <v>1143</v>
      </c>
      <c r="T88" s="90" t="str">
        <f>HYPERLINK("http://www.youtube.com/channel/UCaaT9I_B8FulJiudAwFFRKA")</f>
        <v>http://www.youtube.com/channel/UCaaT9I_B8FulJiudAwFFRKA</v>
      </c>
      <c r="U88" s="84"/>
      <c r="V88" s="84" t="s">
        <v>1461</v>
      </c>
      <c r="W88" s="90" t="str">
        <f>HYPERLINK("https://www.youtube.com/watch?v=jaurWTKCNkc")</f>
        <v>https://www.youtube.com/watch?v=jaurWTKCNkc</v>
      </c>
      <c r="X88" s="84" t="s">
        <v>1537</v>
      </c>
      <c r="Y88" s="84">
        <v>4</v>
      </c>
      <c r="Z88" s="93">
        <v>43900.862488425926</v>
      </c>
      <c r="AA88" s="93">
        <v>43900.862488425926</v>
      </c>
      <c r="AB88" s="84"/>
      <c r="AC88" s="84"/>
      <c r="AD88" s="88" t="s">
        <v>1874</v>
      </c>
      <c r="AE88" s="86">
        <v>2</v>
      </c>
      <c r="AF88" s="87" t="str">
        <f>REPLACE(INDEX(GroupVertices[Group],MATCH(Edges[[#This Row],[Vertex 1]],GroupVertices[Vertex],0)),1,1,"")</f>
        <v>10</v>
      </c>
      <c r="AG88" s="87" t="str">
        <f>REPLACE(INDEX(GroupVertices[Group],MATCH(Edges[[#This Row],[Vertex 2]],GroupVertices[Vertex],0)),1,1,"")</f>
        <v>10</v>
      </c>
      <c r="AH88" s="105"/>
      <c r="AI88" s="105"/>
      <c r="AJ88" s="105"/>
      <c r="AK88" s="105"/>
      <c r="AL88" s="105"/>
      <c r="AM88" s="105"/>
      <c r="AN88" s="105"/>
      <c r="AO88" s="105"/>
      <c r="AP88" s="105"/>
    </row>
    <row r="89" spans="1:42" ht="15">
      <c r="A89" s="61" t="s">
        <v>305</v>
      </c>
      <c r="B89" s="61" t="s">
        <v>622</v>
      </c>
      <c r="C89" s="62" t="s">
        <v>2892</v>
      </c>
      <c r="D89" s="63">
        <v>5.833333333333333</v>
      </c>
      <c r="E89" s="62"/>
      <c r="F89" s="65">
        <v>15</v>
      </c>
      <c r="G89" s="62"/>
      <c r="H89" s="66"/>
      <c r="I89" s="67"/>
      <c r="J89" s="67"/>
      <c r="K89" s="31" t="s">
        <v>65</v>
      </c>
      <c r="L89" s="68">
        <v>89</v>
      </c>
      <c r="M89" s="68"/>
      <c r="N89" s="69"/>
      <c r="O89" s="84" t="s">
        <v>653</v>
      </c>
      <c r="P89" s="84" t="s">
        <v>215</v>
      </c>
      <c r="Q89" s="88" t="s">
        <v>740</v>
      </c>
      <c r="R89" s="84" t="s">
        <v>305</v>
      </c>
      <c r="S89" s="84" t="s">
        <v>1143</v>
      </c>
      <c r="T89" s="90" t="str">
        <f>HYPERLINK("http://www.youtube.com/channel/UCaaT9I_B8FulJiudAwFFRKA")</f>
        <v>http://www.youtube.com/channel/UCaaT9I_B8FulJiudAwFFRKA</v>
      </c>
      <c r="U89" s="84"/>
      <c r="V89" s="84" t="s">
        <v>1461</v>
      </c>
      <c r="W89" s="90" t="str">
        <f>HYPERLINK("https://www.youtube.com/watch?v=jaurWTKCNkc")</f>
        <v>https://www.youtube.com/watch?v=jaurWTKCNkc</v>
      </c>
      <c r="X89" s="84" t="s">
        <v>1537</v>
      </c>
      <c r="Y89" s="84">
        <v>3</v>
      </c>
      <c r="Z89" s="84" t="s">
        <v>1580</v>
      </c>
      <c r="AA89" s="84" t="s">
        <v>1580</v>
      </c>
      <c r="AB89" s="84"/>
      <c r="AC89" s="84"/>
      <c r="AD89" s="88" t="s">
        <v>1874</v>
      </c>
      <c r="AE89" s="86">
        <v>2</v>
      </c>
      <c r="AF89" s="87" t="str">
        <f>REPLACE(INDEX(GroupVertices[Group],MATCH(Edges[[#This Row],[Vertex 1]],GroupVertices[Vertex],0)),1,1,"")</f>
        <v>10</v>
      </c>
      <c r="AG89" s="87" t="str">
        <f>REPLACE(INDEX(GroupVertices[Group],MATCH(Edges[[#This Row],[Vertex 2]],GroupVertices[Vertex],0)),1,1,"")</f>
        <v>10</v>
      </c>
      <c r="AH89" s="105"/>
      <c r="AI89" s="105"/>
      <c r="AJ89" s="105"/>
      <c r="AK89" s="105"/>
      <c r="AL89" s="105"/>
      <c r="AM89" s="105"/>
      <c r="AN89" s="105"/>
      <c r="AO89" s="105"/>
      <c r="AP89" s="105"/>
    </row>
    <row r="90" spans="1:42" ht="15">
      <c r="A90" s="61" t="s">
        <v>306</v>
      </c>
      <c r="B90" s="61" t="s">
        <v>622</v>
      </c>
      <c r="C90" s="62" t="s">
        <v>2892</v>
      </c>
      <c r="D90" s="63">
        <v>5.833333333333333</v>
      </c>
      <c r="E90" s="62"/>
      <c r="F90" s="65">
        <v>15</v>
      </c>
      <c r="G90" s="62"/>
      <c r="H90" s="66"/>
      <c r="I90" s="67"/>
      <c r="J90" s="67"/>
      <c r="K90" s="31" t="s">
        <v>65</v>
      </c>
      <c r="L90" s="68">
        <v>90</v>
      </c>
      <c r="M90" s="68"/>
      <c r="N90" s="69"/>
      <c r="O90" s="84" t="s">
        <v>653</v>
      </c>
      <c r="P90" s="84" t="s">
        <v>215</v>
      </c>
      <c r="Q90" s="88" t="s">
        <v>741</v>
      </c>
      <c r="R90" s="84" t="s">
        <v>306</v>
      </c>
      <c r="S90" s="84" t="s">
        <v>1144</v>
      </c>
      <c r="T90" s="90" t="str">
        <f>HYPERLINK("http://www.youtube.com/channel/UCt1cvk83Ici3SgAyvL6o29A")</f>
        <v>http://www.youtube.com/channel/UCt1cvk83Ici3SgAyvL6o29A</v>
      </c>
      <c r="U90" s="84"/>
      <c r="V90" s="84" t="s">
        <v>1461</v>
      </c>
      <c r="W90" s="90" t="str">
        <f>HYPERLINK("https://www.youtube.com/watch?v=jaurWTKCNkc")</f>
        <v>https://www.youtube.com/watch?v=jaurWTKCNkc</v>
      </c>
      <c r="X90" s="84" t="s">
        <v>1537</v>
      </c>
      <c r="Y90" s="84">
        <v>0</v>
      </c>
      <c r="Z90" s="93">
        <v>43900.86928240741</v>
      </c>
      <c r="AA90" s="93">
        <v>43900.86928240741</v>
      </c>
      <c r="AB90" s="84"/>
      <c r="AC90" s="84"/>
      <c r="AD90" s="88" t="s">
        <v>1874</v>
      </c>
      <c r="AE90" s="86">
        <v>2</v>
      </c>
      <c r="AF90" s="87" t="str">
        <f>REPLACE(INDEX(GroupVertices[Group],MATCH(Edges[[#This Row],[Vertex 1]],GroupVertices[Vertex],0)),1,1,"")</f>
        <v>10</v>
      </c>
      <c r="AG90" s="87" t="str">
        <f>REPLACE(INDEX(GroupVertices[Group],MATCH(Edges[[#This Row],[Vertex 2]],GroupVertices[Vertex],0)),1,1,"")</f>
        <v>10</v>
      </c>
      <c r="AH90" s="105"/>
      <c r="AI90" s="105"/>
      <c r="AJ90" s="105"/>
      <c r="AK90" s="105"/>
      <c r="AL90" s="105"/>
      <c r="AM90" s="105"/>
      <c r="AN90" s="105"/>
      <c r="AO90" s="105"/>
      <c r="AP90" s="105"/>
    </row>
    <row r="91" spans="1:42" ht="15">
      <c r="A91" s="61" t="s">
        <v>306</v>
      </c>
      <c r="B91" s="61" t="s">
        <v>622</v>
      </c>
      <c r="C91" s="62" t="s">
        <v>2892</v>
      </c>
      <c r="D91" s="63">
        <v>5.833333333333333</v>
      </c>
      <c r="E91" s="62"/>
      <c r="F91" s="65">
        <v>15</v>
      </c>
      <c r="G91" s="62"/>
      <c r="H91" s="66"/>
      <c r="I91" s="67"/>
      <c r="J91" s="67"/>
      <c r="K91" s="31" t="s">
        <v>65</v>
      </c>
      <c r="L91" s="68">
        <v>91</v>
      </c>
      <c r="M91" s="68"/>
      <c r="N91" s="69"/>
      <c r="O91" s="84" t="s">
        <v>653</v>
      </c>
      <c r="P91" s="84" t="s">
        <v>215</v>
      </c>
      <c r="Q91" s="88" t="s">
        <v>742</v>
      </c>
      <c r="R91" s="84" t="s">
        <v>306</v>
      </c>
      <c r="S91" s="84" t="s">
        <v>1144</v>
      </c>
      <c r="T91" s="90" t="str">
        <f>HYPERLINK("http://www.youtube.com/channel/UCt1cvk83Ici3SgAyvL6o29A")</f>
        <v>http://www.youtube.com/channel/UCt1cvk83Ici3SgAyvL6o29A</v>
      </c>
      <c r="U91" s="84"/>
      <c r="V91" s="84" t="s">
        <v>1461</v>
      </c>
      <c r="W91" s="90" t="str">
        <f>HYPERLINK("https://www.youtube.com/watch?v=jaurWTKCNkc")</f>
        <v>https://www.youtube.com/watch?v=jaurWTKCNkc</v>
      </c>
      <c r="X91" s="84" t="s">
        <v>1537</v>
      </c>
      <c r="Y91" s="84">
        <v>1</v>
      </c>
      <c r="Z91" s="93">
        <v>44023.99811342593</v>
      </c>
      <c r="AA91" s="93">
        <v>44023.99811342593</v>
      </c>
      <c r="AB91" s="84"/>
      <c r="AC91" s="84"/>
      <c r="AD91" s="88" t="s">
        <v>1874</v>
      </c>
      <c r="AE91" s="86">
        <v>2</v>
      </c>
      <c r="AF91" s="87" t="str">
        <f>REPLACE(INDEX(GroupVertices[Group],MATCH(Edges[[#This Row],[Vertex 1]],GroupVertices[Vertex],0)),1,1,"")</f>
        <v>10</v>
      </c>
      <c r="AG91" s="87" t="str">
        <f>REPLACE(INDEX(GroupVertices[Group],MATCH(Edges[[#This Row],[Vertex 2]],GroupVertices[Vertex],0)),1,1,"")</f>
        <v>10</v>
      </c>
      <c r="AH91" s="105"/>
      <c r="AI91" s="105"/>
      <c r="AJ91" s="105"/>
      <c r="AK91" s="105"/>
      <c r="AL91" s="105"/>
      <c r="AM91" s="105"/>
      <c r="AN91" s="105"/>
      <c r="AO91" s="105"/>
      <c r="AP91" s="105"/>
    </row>
    <row r="92" spans="1:42" ht="15">
      <c r="A92" s="61" t="s">
        <v>307</v>
      </c>
      <c r="B92" s="61" t="s">
        <v>622</v>
      </c>
      <c r="C92" s="62" t="s">
        <v>2891</v>
      </c>
      <c r="D92" s="63">
        <v>5</v>
      </c>
      <c r="E92" s="62"/>
      <c r="F92" s="65">
        <v>25</v>
      </c>
      <c r="G92" s="62"/>
      <c r="H92" s="66"/>
      <c r="I92" s="67"/>
      <c r="J92" s="67"/>
      <c r="K92" s="31" t="s">
        <v>65</v>
      </c>
      <c r="L92" s="68">
        <v>92</v>
      </c>
      <c r="M92" s="68"/>
      <c r="N92" s="69"/>
      <c r="O92" s="84" t="s">
        <v>653</v>
      </c>
      <c r="P92" s="84" t="s">
        <v>215</v>
      </c>
      <c r="Q92" s="88" t="s">
        <v>743</v>
      </c>
      <c r="R92" s="84" t="s">
        <v>307</v>
      </c>
      <c r="S92" s="84" t="s">
        <v>1145</v>
      </c>
      <c r="T92" s="90" t="str">
        <f>HYPERLINK("http://www.youtube.com/channel/UC7rS5qZMorW-N_t3ZlZV2jQ")</f>
        <v>http://www.youtube.com/channel/UC7rS5qZMorW-N_t3ZlZV2jQ</v>
      </c>
      <c r="U92" s="84"/>
      <c r="V92" s="84" t="s">
        <v>1461</v>
      </c>
      <c r="W92" s="90" t="str">
        <f>HYPERLINK("https://www.youtube.com/watch?v=jaurWTKCNkc")</f>
        <v>https://www.youtube.com/watch?v=jaurWTKCNkc</v>
      </c>
      <c r="X92" s="84" t="s">
        <v>1537</v>
      </c>
      <c r="Y92" s="84">
        <v>1</v>
      </c>
      <c r="Z92" s="84" t="s">
        <v>1581</v>
      </c>
      <c r="AA92" s="84" t="s">
        <v>1581</v>
      </c>
      <c r="AB92" s="84"/>
      <c r="AC92" s="84"/>
      <c r="AD92" s="88" t="s">
        <v>1874</v>
      </c>
      <c r="AE92" s="86">
        <v>1</v>
      </c>
      <c r="AF92" s="87" t="str">
        <f>REPLACE(INDEX(GroupVertices[Group],MATCH(Edges[[#This Row],[Vertex 1]],GroupVertices[Vertex],0)),1,1,"")</f>
        <v>10</v>
      </c>
      <c r="AG92" s="87" t="str">
        <f>REPLACE(INDEX(GroupVertices[Group],MATCH(Edges[[#This Row],[Vertex 2]],GroupVertices[Vertex],0)),1,1,"")</f>
        <v>10</v>
      </c>
      <c r="AH92" s="105"/>
      <c r="AI92" s="105"/>
      <c r="AJ92" s="105"/>
      <c r="AK92" s="105"/>
      <c r="AL92" s="105"/>
      <c r="AM92" s="105"/>
      <c r="AN92" s="105"/>
      <c r="AO92" s="105"/>
      <c r="AP92" s="105"/>
    </row>
    <row r="93" spans="1:42" ht="15">
      <c r="A93" s="61" t="s">
        <v>308</v>
      </c>
      <c r="B93" s="61" t="s">
        <v>622</v>
      </c>
      <c r="C93" s="62" t="s">
        <v>2891</v>
      </c>
      <c r="D93" s="63">
        <v>5</v>
      </c>
      <c r="E93" s="62"/>
      <c r="F93" s="65">
        <v>25</v>
      </c>
      <c r="G93" s="62"/>
      <c r="H93" s="66"/>
      <c r="I93" s="67"/>
      <c r="J93" s="67"/>
      <c r="K93" s="31" t="s">
        <v>65</v>
      </c>
      <c r="L93" s="68">
        <v>93</v>
      </c>
      <c r="M93" s="68"/>
      <c r="N93" s="69"/>
      <c r="O93" s="84" t="s">
        <v>653</v>
      </c>
      <c r="P93" s="84" t="s">
        <v>215</v>
      </c>
      <c r="Q93" s="88" t="s">
        <v>744</v>
      </c>
      <c r="R93" s="84" t="s">
        <v>308</v>
      </c>
      <c r="S93" s="84" t="s">
        <v>1146</v>
      </c>
      <c r="T93" s="90" t="str">
        <f>HYPERLINK("http://www.youtube.com/channel/UCP8qyHZSfBimaVpysHmHsEA")</f>
        <v>http://www.youtube.com/channel/UCP8qyHZSfBimaVpysHmHsEA</v>
      </c>
      <c r="U93" s="84"/>
      <c r="V93" s="84" t="s">
        <v>1461</v>
      </c>
      <c r="W93" s="90" t="str">
        <f>HYPERLINK("https://www.youtube.com/watch?v=jaurWTKCNkc")</f>
        <v>https://www.youtube.com/watch?v=jaurWTKCNkc</v>
      </c>
      <c r="X93" s="84" t="s">
        <v>1537</v>
      </c>
      <c r="Y93" s="84">
        <v>0</v>
      </c>
      <c r="Z93" s="84" t="s">
        <v>1582</v>
      </c>
      <c r="AA93" s="84" t="s">
        <v>1582</v>
      </c>
      <c r="AB93" s="84"/>
      <c r="AC93" s="84"/>
      <c r="AD93" s="88" t="s">
        <v>1874</v>
      </c>
      <c r="AE93" s="86">
        <v>1</v>
      </c>
      <c r="AF93" s="87" t="str">
        <f>REPLACE(INDEX(GroupVertices[Group],MATCH(Edges[[#This Row],[Vertex 1]],GroupVertices[Vertex],0)),1,1,"")</f>
        <v>10</v>
      </c>
      <c r="AG93" s="87" t="str">
        <f>REPLACE(INDEX(GroupVertices[Group],MATCH(Edges[[#This Row],[Vertex 2]],GroupVertices[Vertex],0)),1,1,"")</f>
        <v>10</v>
      </c>
      <c r="AH93" s="105"/>
      <c r="AI93" s="105"/>
      <c r="AJ93" s="105"/>
      <c r="AK93" s="105"/>
      <c r="AL93" s="105"/>
      <c r="AM93" s="105"/>
      <c r="AN93" s="105"/>
      <c r="AO93" s="105"/>
      <c r="AP93" s="105"/>
    </row>
    <row r="94" spans="1:42" ht="15">
      <c r="A94" s="61" t="s">
        <v>309</v>
      </c>
      <c r="B94" s="61" t="s">
        <v>622</v>
      </c>
      <c r="C94" s="62" t="s">
        <v>2891</v>
      </c>
      <c r="D94" s="63">
        <v>5</v>
      </c>
      <c r="E94" s="62"/>
      <c r="F94" s="65">
        <v>25</v>
      </c>
      <c r="G94" s="62"/>
      <c r="H94" s="66"/>
      <c r="I94" s="67"/>
      <c r="J94" s="67"/>
      <c r="K94" s="31" t="s">
        <v>65</v>
      </c>
      <c r="L94" s="68">
        <v>94</v>
      </c>
      <c r="M94" s="68"/>
      <c r="N94" s="69"/>
      <c r="O94" s="84" t="s">
        <v>653</v>
      </c>
      <c r="P94" s="84" t="s">
        <v>215</v>
      </c>
      <c r="Q94" s="88" t="s">
        <v>745</v>
      </c>
      <c r="R94" s="84" t="s">
        <v>309</v>
      </c>
      <c r="S94" s="84" t="s">
        <v>1147</v>
      </c>
      <c r="T94" s="90" t="str">
        <f>HYPERLINK("http://www.youtube.com/channel/UCtYoFY3SljQgjmHSzsxZYww")</f>
        <v>http://www.youtube.com/channel/UCtYoFY3SljQgjmHSzsxZYww</v>
      </c>
      <c r="U94" s="84"/>
      <c r="V94" s="84" t="s">
        <v>1461</v>
      </c>
      <c r="W94" s="90" t="str">
        <f>HYPERLINK("https://www.youtube.com/watch?v=jaurWTKCNkc")</f>
        <v>https://www.youtube.com/watch?v=jaurWTKCNkc</v>
      </c>
      <c r="X94" s="84" t="s">
        <v>1537</v>
      </c>
      <c r="Y94" s="84">
        <v>0</v>
      </c>
      <c r="Z94" s="84" t="s">
        <v>1583</v>
      </c>
      <c r="AA94" s="84" t="s">
        <v>1583</v>
      </c>
      <c r="AB94" s="84"/>
      <c r="AC94" s="84"/>
      <c r="AD94" s="88" t="s">
        <v>1874</v>
      </c>
      <c r="AE94" s="86">
        <v>1</v>
      </c>
      <c r="AF94" s="87" t="str">
        <f>REPLACE(INDEX(GroupVertices[Group],MATCH(Edges[[#This Row],[Vertex 1]],GroupVertices[Vertex],0)),1,1,"")</f>
        <v>10</v>
      </c>
      <c r="AG94" s="87" t="str">
        <f>REPLACE(INDEX(GroupVertices[Group],MATCH(Edges[[#This Row],[Vertex 2]],GroupVertices[Vertex],0)),1,1,"")</f>
        <v>10</v>
      </c>
      <c r="AH94" s="105"/>
      <c r="AI94" s="105"/>
      <c r="AJ94" s="105"/>
      <c r="AK94" s="105"/>
      <c r="AL94" s="105"/>
      <c r="AM94" s="105"/>
      <c r="AN94" s="105"/>
      <c r="AO94" s="105"/>
      <c r="AP94" s="105"/>
    </row>
    <row r="95" spans="1:42" ht="15">
      <c r="A95" s="61" t="s">
        <v>310</v>
      </c>
      <c r="B95" s="61" t="s">
        <v>625</v>
      </c>
      <c r="C95" s="62" t="s">
        <v>2891</v>
      </c>
      <c r="D95" s="63">
        <v>5</v>
      </c>
      <c r="E95" s="62"/>
      <c r="F95" s="65">
        <v>25</v>
      </c>
      <c r="G95" s="62"/>
      <c r="H95" s="66"/>
      <c r="I95" s="67"/>
      <c r="J95" s="67"/>
      <c r="K95" s="31" t="s">
        <v>65</v>
      </c>
      <c r="L95" s="68">
        <v>95</v>
      </c>
      <c r="M95" s="68"/>
      <c r="N95" s="69"/>
      <c r="O95" s="84" t="s">
        <v>653</v>
      </c>
      <c r="P95" s="84" t="s">
        <v>215</v>
      </c>
      <c r="Q95" s="88" t="s">
        <v>746</v>
      </c>
      <c r="R95" s="84" t="s">
        <v>310</v>
      </c>
      <c r="S95" s="84" t="s">
        <v>1148</v>
      </c>
      <c r="T95" s="90" t="str">
        <f>HYPERLINK("http://www.youtube.com/channel/UCuxvw14xy4XJ3Fee6z3T94g")</f>
        <v>http://www.youtube.com/channel/UCuxvw14xy4XJ3Fee6z3T94g</v>
      </c>
      <c r="U95" s="84"/>
      <c r="V95" s="84" t="s">
        <v>1462</v>
      </c>
      <c r="W95" s="90" t="str">
        <f>HYPERLINK("https://www.youtube.com/watch?v=3fKejl2nFc4")</f>
        <v>https://www.youtube.com/watch?v=3fKejl2nFc4</v>
      </c>
      <c r="X95" s="84" t="s">
        <v>1537</v>
      </c>
      <c r="Y95" s="84">
        <v>0</v>
      </c>
      <c r="Z95" s="84" t="s">
        <v>1584</v>
      </c>
      <c r="AA95" s="84" t="s">
        <v>1584</v>
      </c>
      <c r="AB95" s="84"/>
      <c r="AC95" s="84"/>
      <c r="AD95" s="88" t="s">
        <v>1874</v>
      </c>
      <c r="AE95" s="86">
        <v>1</v>
      </c>
      <c r="AF95" s="87" t="str">
        <f>REPLACE(INDEX(GroupVertices[Group],MATCH(Edges[[#This Row],[Vertex 1]],GroupVertices[Vertex],0)),1,1,"")</f>
        <v>18</v>
      </c>
      <c r="AG95" s="87" t="str">
        <f>REPLACE(INDEX(GroupVertices[Group],MATCH(Edges[[#This Row],[Vertex 2]],GroupVertices[Vertex],0)),1,1,"")</f>
        <v>18</v>
      </c>
      <c r="AH95" s="105"/>
      <c r="AI95" s="105"/>
      <c r="AJ95" s="105"/>
      <c r="AK95" s="105"/>
      <c r="AL95" s="105"/>
      <c r="AM95" s="105"/>
      <c r="AN95" s="105"/>
      <c r="AO95" s="105"/>
      <c r="AP95" s="105"/>
    </row>
    <row r="96" spans="1:42" ht="15">
      <c r="A96" s="61" t="s">
        <v>311</v>
      </c>
      <c r="B96" s="61" t="s">
        <v>625</v>
      </c>
      <c r="C96" s="62" t="s">
        <v>2891</v>
      </c>
      <c r="D96" s="63">
        <v>5</v>
      </c>
      <c r="E96" s="62"/>
      <c r="F96" s="65">
        <v>25</v>
      </c>
      <c r="G96" s="62"/>
      <c r="H96" s="66"/>
      <c r="I96" s="67"/>
      <c r="J96" s="67"/>
      <c r="K96" s="31" t="s">
        <v>65</v>
      </c>
      <c r="L96" s="68">
        <v>96</v>
      </c>
      <c r="M96" s="68"/>
      <c r="N96" s="69"/>
      <c r="O96" s="84" t="s">
        <v>653</v>
      </c>
      <c r="P96" s="84" t="s">
        <v>215</v>
      </c>
      <c r="Q96" s="88" t="s">
        <v>747</v>
      </c>
      <c r="R96" s="84" t="s">
        <v>311</v>
      </c>
      <c r="S96" s="84" t="s">
        <v>1149</v>
      </c>
      <c r="T96" s="90" t="str">
        <f>HYPERLINK("http://www.youtube.com/channel/UCrxK6K_iYUTWw-K7TvwXZlw")</f>
        <v>http://www.youtube.com/channel/UCrxK6K_iYUTWw-K7TvwXZlw</v>
      </c>
      <c r="U96" s="84"/>
      <c r="V96" s="84" t="s">
        <v>1462</v>
      </c>
      <c r="W96" s="90" t="str">
        <f>HYPERLINK("https://www.youtube.com/watch?v=3fKejl2nFc4")</f>
        <v>https://www.youtube.com/watch?v=3fKejl2nFc4</v>
      </c>
      <c r="X96" s="84" t="s">
        <v>1537</v>
      </c>
      <c r="Y96" s="84">
        <v>0</v>
      </c>
      <c r="Z96" s="84" t="s">
        <v>1585</v>
      </c>
      <c r="AA96" s="84" t="s">
        <v>1585</v>
      </c>
      <c r="AB96" s="84"/>
      <c r="AC96" s="84"/>
      <c r="AD96" s="88" t="s">
        <v>1874</v>
      </c>
      <c r="AE96" s="86">
        <v>1</v>
      </c>
      <c r="AF96" s="87" t="str">
        <f>REPLACE(INDEX(GroupVertices[Group],MATCH(Edges[[#This Row],[Vertex 1]],GroupVertices[Vertex],0)),1,1,"")</f>
        <v>18</v>
      </c>
      <c r="AG96" s="87" t="str">
        <f>REPLACE(INDEX(GroupVertices[Group],MATCH(Edges[[#This Row],[Vertex 2]],GroupVertices[Vertex],0)),1,1,"")</f>
        <v>18</v>
      </c>
      <c r="AH96" s="105"/>
      <c r="AI96" s="105"/>
      <c r="AJ96" s="105"/>
      <c r="AK96" s="105"/>
      <c r="AL96" s="105"/>
      <c r="AM96" s="105"/>
      <c r="AN96" s="105"/>
      <c r="AO96" s="105"/>
      <c r="AP96" s="105"/>
    </row>
    <row r="97" spans="1:42" ht="15">
      <c r="A97" s="61" t="s">
        <v>312</v>
      </c>
      <c r="B97" s="61" t="s">
        <v>631</v>
      </c>
      <c r="C97" s="62" t="s">
        <v>2891</v>
      </c>
      <c r="D97" s="63">
        <v>5</v>
      </c>
      <c r="E97" s="62"/>
      <c r="F97" s="65">
        <v>25</v>
      </c>
      <c r="G97" s="62"/>
      <c r="H97" s="66"/>
      <c r="I97" s="67"/>
      <c r="J97" s="67"/>
      <c r="K97" s="31" t="s">
        <v>65</v>
      </c>
      <c r="L97" s="68">
        <v>97</v>
      </c>
      <c r="M97" s="68"/>
      <c r="N97" s="69"/>
      <c r="O97" s="84" t="s">
        <v>653</v>
      </c>
      <c r="P97" s="84" t="s">
        <v>215</v>
      </c>
      <c r="Q97" s="88" t="s">
        <v>748</v>
      </c>
      <c r="R97" s="84" t="s">
        <v>312</v>
      </c>
      <c r="S97" s="84" t="s">
        <v>1150</v>
      </c>
      <c r="T97" s="90" t="str">
        <f>HYPERLINK("http://www.youtube.com/channel/UCBbaYkOHMA3ONl9Hy2vaqgQ")</f>
        <v>http://www.youtube.com/channel/UCBbaYkOHMA3ONl9Hy2vaqgQ</v>
      </c>
      <c r="U97" s="84"/>
      <c r="V97" s="84" t="s">
        <v>1463</v>
      </c>
      <c r="W97" s="90" t="str">
        <f>HYPERLINK("https://www.youtube.com/watch?v=b-QemxdVhCY")</f>
        <v>https://www.youtube.com/watch?v=b-QemxdVhCY</v>
      </c>
      <c r="X97" s="84" t="s">
        <v>1537</v>
      </c>
      <c r="Y97" s="84">
        <v>0</v>
      </c>
      <c r="Z97" s="84" t="s">
        <v>1586</v>
      </c>
      <c r="AA97" s="84" t="s">
        <v>1586</v>
      </c>
      <c r="AB97" s="84"/>
      <c r="AC97" s="84"/>
      <c r="AD97" s="88" t="s">
        <v>1874</v>
      </c>
      <c r="AE97" s="86">
        <v>1</v>
      </c>
      <c r="AF97" s="87" t="str">
        <f>REPLACE(INDEX(GroupVertices[Group],MATCH(Edges[[#This Row],[Vertex 1]],GroupVertices[Vertex],0)),1,1,"")</f>
        <v>14</v>
      </c>
      <c r="AG97" s="87" t="str">
        <f>REPLACE(INDEX(GroupVertices[Group],MATCH(Edges[[#This Row],[Vertex 2]],GroupVertices[Vertex],0)),1,1,"")</f>
        <v>14</v>
      </c>
      <c r="AH97" s="105"/>
      <c r="AI97" s="105"/>
      <c r="AJ97" s="105"/>
      <c r="AK97" s="105"/>
      <c r="AL97" s="105"/>
      <c r="AM97" s="105"/>
      <c r="AN97" s="105"/>
      <c r="AO97" s="105"/>
      <c r="AP97" s="105"/>
    </row>
    <row r="98" spans="1:42" ht="15">
      <c r="A98" s="61" t="s">
        <v>313</v>
      </c>
      <c r="B98" s="61" t="s">
        <v>629</v>
      </c>
      <c r="C98" s="62" t="s">
        <v>2892</v>
      </c>
      <c r="D98" s="63">
        <v>5.833333333333333</v>
      </c>
      <c r="E98" s="62"/>
      <c r="F98" s="65">
        <v>15</v>
      </c>
      <c r="G98" s="62"/>
      <c r="H98" s="66"/>
      <c r="I98" s="67"/>
      <c r="J98" s="67"/>
      <c r="K98" s="31" t="s">
        <v>65</v>
      </c>
      <c r="L98" s="68">
        <v>98</v>
      </c>
      <c r="M98" s="68"/>
      <c r="N98" s="69"/>
      <c r="O98" s="84" t="s">
        <v>653</v>
      </c>
      <c r="P98" s="84" t="s">
        <v>215</v>
      </c>
      <c r="Q98" s="88" t="s">
        <v>749</v>
      </c>
      <c r="R98" s="84" t="s">
        <v>313</v>
      </c>
      <c r="S98" s="84" t="s">
        <v>1151</v>
      </c>
      <c r="T98" s="90" t="str">
        <f>HYPERLINK("http://www.youtube.com/channel/UCU4OTaFyRFv5v4zWbMOfLKw")</f>
        <v>http://www.youtube.com/channel/UCU4OTaFyRFv5v4zWbMOfLKw</v>
      </c>
      <c r="U98" s="84"/>
      <c r="V98" s="84" t="s">
        <v>1464</v>
      </c>
      <c r="W98" s="90" t="str">
        <f>HYPERLINK("https://www.youtube.com/watch?v=fpr5R_NcvJE")</f>
        <v>https://www.youtube.com/watch?v=fpr5R_NcvJE</v>
      </c>
      <c r="X98" s="84" t="s">
        <v>1537</v>
      </c>
      <c r="Y98" s="84">
        <v>0</v>
      </c>
      <c r="Z98" s="93">
        <v>44776.24184027778</v>
      </c>
      <c r="AA98" s="93">
        <v>44776.24184027778</v>
      </c>
      <c r="AB98" s="84"/>
      <c r="AC98" s="84"/>
      <c r="AD98" s="88" t="s">
        <v>1874</v>
      </c>
      <c r="AE98" s="86">
        <v>2</v>
      </c>
      <c r="AF98" s="87" t="str">
        <f>REPLACE(INDEX(GroupVertices[Group],MATCH(Edges[[#This Row],[Vertex 1]],GroupVertices[Vertex],0)),1,1,"")</f>
        <v>9</v>
      </c>
      <c r="AG98" s="87" t="str">
        <f>REPLACE(INDEX(GroupVertices[Group],MATCH(Edges[[#This Row],[Vertex 2]],GroupVertices[Vertex],0)),1,1,"")</f>
        <v>9</v>
      </c>
      <c r="AH98" s="105"/>
      <c r="AI98" s="105"/>
      <c r="AJ98" s="105"/>
      <c r="AK98" s="105"/>
      <c r="AL98" s="105"/>
      <c r="AM98" s="105"/>
      <c r="AN98" s="105"/>
      <c r="AO98" s="105"/>
      <c r="AP98" s="105"/>
    </row>
    <row r="99" spans="1:42" ht="15">
      <c r="A99" s="61" t="s">
        <v>313</v>
      </c>
      <c r="B99" s="61" t="s">
        <v>629</v>
      </c>
      <c r="C99" s="62" t="s">
        <v>2892</v>
      </c>
      <c r="D99" s="63">
        <v>5.833333333333333</v>
      </c>
      <c r="E99" s="62"/>
      <c r="F99" s="65">
        <v>15</v>
      </c>
      <c r="G99" s="62"/>
      <c r="H99" s="66"/>
      <c r="I99" s="67"/>
      <c r="J99" s="67"/>
      <c r="K99" s="31" t="s">
        <v>65</v>
      </c>
      <c r="L99" s="68">
        <v>99</v>
      </c>
      <c r="M99" s="68"/>
      <c r="N99" s="69"/>
      <c r="O99" s="84" t="s">
        <v>653</v>
      </c>
      <c r="P99" s="84" t="s">
        <v>215</v>
      </c>
      <c r="Q99" s="88" t="s">
        <v>750</v>
      </c>
      <c r="R99" s="84" t="s">
        <v>313</v>
      </c>
      <c r="S99" s="84" t="s">
        <v>1151</v>
      </c>
      <c r="T99" s="90" t="str">
        <f>HYPERLINK("http://www.youtube.com/channel/UCU4OTaFyRFv5v4zWbMOfLKw")</f>
        <v>http://www.youtube.com/channel/UCU4OTaFyRFv5v4zWbMOfLKw</v>
      </c>
      <c r="U99" s="84"/>
      <c r="V99" s="84" t="s">
        <v>1464</v>
      </c>
      <c r="W99" s="90" t="str">
        <f>HYPERLINK("https://www.youtube.com/watch?v=fpr5R_NcvJE")</f>
        <v>https://www.youtube.com/watch?v=fpr5R_NcvJE</v>
      </c>
      <c r="X99" s="84" t="s">
        <v>1537</v>
      </c>
      <c r="Y99" s="84">
        <v>0</v>
      </c>
      <c r="Z99" s="93">
        <v>44898.654328703706</v>
      </c>
      <c r="AA99" s="93">
        <v>44898.654328703706</v>
      </c>
      <c r="AB99" s="84"/>
      <c r="AC99" s="84"/>
      <c r="AD99" s="88" t="s">
        <v>1874</v>
      </c>
      <c r="AE99" s="86">
        <v>2</v>
      </c>
      <c r="AF99" s="87" t="str">
        <f>REPLACE(INDEX(GroupVertices[Group],MATCH(Edges[[#This Row],[Vertex 1]],GroupVertices[Vertex],0)),1,1,"")</f>
        <v>9</v>
      </c>
      <c r="AG99" s="87" t="str">
        <f>REPLACE(INDEX(GroupVertices[Group],MATCH(Edges[[#This Row],[Vertex 2]],GroupVertices[Vertex],0)),1,1,"")</f>
        <v>9</v>
      </c>
      <c r="AH99" s="105"/>
      <c r="AI99" s="105"/>
      <c r="AJ99" s="105"/>
      <c r="AK99" s="105"/>
      <c r="AL99" s="105"/>
      <c r="AM99" s="105"/>
      <c r="AN99" s="105"/>
      <c r="AO99" s="105"/>
      <c r="AP99" s="105"/>
    </row>
    <row r="100" spans="1:42" ht="15">
      <c r="A100" s="61" t="s">
        <v>314</v>
      </c>
      <c r="B100" s="61" t="s">
        <v>629</v>
      </c>
      <c r="C100" s="62" t="s">
        <v>2891</v>
      </c>
      <c r="D100" s="63">
        <v>5</v>
      </c>
      <c r="E100" s="62"/>
      <c r="F100" s="65">
        <v>25</v>
      </c>
      <c r="G100" s="62"/>
      <c r="H100" s="66"/>
      <c r="I100" s="67"/>
      <c r="J100" s="67"/>
      <c r="K100" s="31" t="s">
        <v>65</v>
      </c>
      <c r="L100" s="68">
        <v>100</v>
      </c>
      <c r="M100" s="68"/>
      <c r="N100" s="69"/>
      <c r="O100" s="84" t="s">
        <v>653</v>
      </c>
      <c r="P100" s="84" t="s">
        <v>215</v>
      </c>
      <c r="Q100" s="88" t="s">
        <v>751</v>
      </c>
      <c r="R100" s="84" t="s">
        <v>314</v>
      </c>
      <c r="S100" s="84" t="s">
        <v>1152</v>
      </c>
      <c r="T100" s="90" t="str">
        <f>HYPERLINK("http://www.youtube.com/channel/UCFNZkc5TIazE3hsUUsG4Mug")</f>
        <v>http://www.youtube.com/channel/UCFNZkc5TIazE3hsUUsG4Mug</v>
      </c>
      <c r="U100" s="84"/>
      <c r="V100" s="84" t="s">
        <v>1464</v>
      </c>
      <c r="W100" s="90" t="str">
        <f>HYPERLINK("https://www.youtube.com/watch?v=fpr5R_NcvJE")</f>
        <v>https://www.youtube.com/watch?v=fpr5R_NcvJE</v>
      </c>
      <c r="X100" s="84" t="s">
        <v>1537</v>
      </c>
      <c r="Y100" s="84">
        <v>0</v>
      </c>
      <c r="Z100" s="84" t="s">
        <v>1587</v>
      </c>
      <c r="AA100" s="84" t="s">
        <v>1841</v>
      </c>
      <c r="AB100" s="84"/>
      <c r="AC100" s="84"/>
      <c r="AD100" s="88" t="s">
        <v>1874</v>
      </c>
      <c r="AE100" s="86">
        <v>1</v>
      </c>
      <c r="AF100" s="87" t="str">
        <f>REPLACE(INDEX(GroupVertices[Group],MATCH(Edges[[#This Row],[Vertex 1]],GroupVertices[Vertex],0)),1,1,"")</f>
        <v>9</v>
      </c>
      <c r="AG100" s="87" t="str">
        <f>REPLACE(INDEX(GroupVertices[Group],MATCH(Edges[[#This Row],[Vertex 2]],GroupVertices[Vertex],0)),1,1,"")</f>
        <v>9</v>
      </c>
      <c r="AH100" s="105"/>
      <c r="AI100" s="105"/>
      <c r="AJ100" s="105"/>
      <c r="AK100" s="105"/>
      <c r="AL100" s="105"/>
      <c r="AM100" s="105"/>
      <c r="AN100" s="105"/>
      <c r="AO100" s="105"/>
      <c r="AP100" s="105"/>
    </row>
    <row r="101" spans="1:42" ht="15">
      <c r="A101" s="61" t="s">
        <v>315</v>
      </c>
      <c r="B101" s="61" t="s">
        <v>629</v>
      </c>
      <c r="C101" s="62" t="s">
        <v>2891</v>
      </c>
      <c r="D101" s="63">
        <v>5</v>
      </c>
      <c r="E101" s="62"/>
      <c r="F101" s="65">
        <v>25</v>
      </c>
      <c r="G101" s="62"/>
      <c r="H101" s="66"/>
      <c r="I101" s="67"/>
      <c r="J101" s="67"/>
      <c r="K101" s="31" t="s">
        <v>65</v>
      </c>
      <c r="L101" s="68">
        <v>101</v>
      </c>
      <c r="M101" s="68"/>
      <c r="N101" s="69"/>
      <c r="O101" s="84" t="s">
        <v>653</v>
      </c>
      <c r="P101" s="84" t="s">
        <v>215</v>
      </c>
      <c r="Q101" s="88" t="s">
        <v>752</v>
      </c>
      <c r="R101" s="84" t="s">
        <v>315</v>
      </c>
      <c r="S101" s="84" t="s">
        <v>1153</v>
      </c>
      <c r="T101" s="90" t="str">
        <f>HYPERLINK("http://www.youtube.com/channel/UCkxDs3hghE3W3GfMwf2HjXg")</f>
        <v>http://www.youtube.com/channel/UCkxDs3hghE3W3GfMwf2HjXg</v>
      </c>
      <c r="U101" s="84"/>
      <c r="V101" s="84" t="s">
        <v>1464</v>
      </c>
      <c r="W101" s="90" t="str">
        <f>HYPERLINK("https://www.youtube.com/watch?v=fpr5R_NcvJE")</f>
        <v>https://www.youtube.com/watch?v=fpr5R_NcvJE</v>
      </c>
      <c r="X101" s="84" t="s">
        <v>1537</v>
      </c>
      <c r="Y101" s="84">
        <v>0</v>
      </c>
      <c r="Z101" s="84" t="s">
        <v>1588</v>
      </c>
      <c r="AA101" s="84" t="s">
        <v>1588</v>
      </c>
      <c r="AB101" s="84"/>
      <c r="AC101" s="84"/>
      <c r="AD101" s="88" t="s">
        <v>1874</v>
      </c>
      <c r="AE101" s="86">
        <v>1</v>
      </c>
      <c r="AF101" s="87" t="str">
        <f>REPLACE(INDEX(GroupVertices[Group],MATCH(Edges[[#This Row],[Vertex 1]],GroupVertices[Vertex],0)),1,1,"")</f>
        <v>9</v>
      </c>
      <c r="AG101" s="87" t="str">
        <f>REPLACE(INDEX(GroupVertices[Group],MATCH(Edges[[#This Row],[Vertex 2]],GroupVertices[Vertex],0)),1,1,"")</f>
        <v>9</v>
      </c>
      <c r="AH101" s="105"/>
      <c r="AI101" s="105"/>
      <c r="AJ101" s="105"/>
      <c r="AK101" s="105"/>
      <c r="AL101" s="105"/>
      <c r="AM101" s="105"/>
      <c r="AN101" s="105"/>
      <c r="AO101" s="105"/>
      <c r="AP101" s="105"/>
    </row>
    <row r="102" spans="1:42" ht="15">
      <c r="A102" s="61" t="s">
        <v>316</v>
      </c>
      <c r="B102" s="61" t="s">
        <v>629</v>
      </c>
      <c r="C102" s="62" t="s">
        <v>2891</v>
      </c>
      <c r="D102" s="63">
        <v>5</v>
      </c>
      <c r="E102" s="62"/>
      <c r="F102" s="65">
        <v>25</v>
      </c>
      <c r="G102" s="62"/>
      <c r="H102" s="66"/>
      <c r="I102" s="67"/>
      <c r="J102" s="67"/>
      <c r="K102" s="31" t="s">
        <v>65</v>
      </c>
      <c r="L102" s="68">
        <v>102</v>
      </c>
      <c r="M102" s="68"/>
      <c r="N102" s="69"/>
      <c r="O102" s="84" t="s">
        <v>653</v>
      </c>
      <c r="P102" s="84" t="s">
        <v>215</v>
      </c>
      <c r="Q102" s="88" t="s">
        <v>753</v>
      </c>
      <c r="R102" s="84" t="s">
        <v>316</v>
      </c>
      <c r="S102" s="84" t="s">
        <v>1154</v>
      </c>
      <c r="T102" s="90" t="str">
        <f>HYPERLINK("http://www.youtube.com/channel/UCdkVsykHG4teojKpDJ7-n9g")</f>
        <v>http://www.youtube.com/channel/UCdkVsykHG4teojKpDJ7-n9g</v>
      </c>
      <c r="U102" s="84"/>
      <c r="V102" s="84" t="s">
        <v>1464</v>
      </c>
      <c r="W102" s="90" t="str">
        <f>HYPERLINK("https://www.youtube.com/watch?v=fpr5R_NcvJE")</f>
        <v>https://www.youtube.com/watch?v=fpr5R_NcvJE</v>
      </c>
      <c r="X102" s="84" t="s">
        <v>1537</v>
      </c>
      <c r="Y102" s="84">
        <v>1</v>
      </c>
      <c r="Z102" s="93">
        <v>45081.881631944445</v>
      </c>
      <c r="AA102" s="84" t="s">
        <v>1842</v>
      </c>
      <c r="AB102" s="84"/>
      <c r="AC102" s="84"/>
      <c r="AD102" s="88" t="s">
        <v>1874</v>
      </c>
      <c r="AE102" s="86">
        <v>1</v>
      </c>
      <c r="AF102" s="87" t="str">
        <f>REPLACE(INDEX(GroupVertices[Group],MATCH(Edges[[#This Row],[Vertex 1]],GroupVertices[Vertex],0)),1,1,"")</f>
        <v>9</v>
      </c>
      <c r="AG102" s="87" t="str">
        <f>REPLACE(INDEX(GroupVertices[Group],MATCH(Edges[[#This Row],[Vertex 2]],GroupVertices[Vertex],0)),1,1,"")</f>
        <v>9</v>
      </c>
      <c r="AH102" s="105"/>
      <c r="AI102" s="105"/>
      <c r="AJ102" s="105"/>
      <c r="AK102" s="105"/>
      <c r="AL102" s="105"/>
      <c r="AM102" s="105"/>
      <c r="AN102" s="105"/>
      <c r="AO102" s="105"/>
      <c r="AP102" s="105"/>
    </row>
    <row r="103" spans="1:42" ht="15">
      <c r="A103" s="61" t="s">
        <v>317</v>
      </c>
      <c r="B103" s="61" t="s">
        <v>629</v>
      </c>
      <c r="C103" s="62" t="s">
        <v>2891</v>
      </c>
      <c r="D103" s="63">
        <v>5</v>
      </c>
      <c r="E103" s="62"/>
      <c r="F103" s="65">
        <v>25</v>
      </c>
      <c r="G103" s="62"/>
      <c r="H103" s="66"/>
      <c r="I103" s="67"/>
      <c r="J103" s="67"/>
      <c r="K103" s="31" t="s">
        <v>65</v>
      </c>
      <c r="L103" s="68">
        <v>103</v>
      </c>
      <c r="M103" s="68"/>
      <c r="N103" s="69"/>
      <c r="O103" s="84" t="s">
        <v>653</v>
      </c>
      <c r="P103" s="84" t="s">
        <v>215</v>
      </c>
      <c r="Q103" s="88" t="s">
        <v>754</v>
      </c>
      <c r="R103" s="84" t="s">
        <v>317</v>
      </c>
      <c r="S103" s="84" t="s">
        <v>1155</v>
      </c>
      <c r="T103" s="90" t="str">
        <f>HYPERLINK("http://www.youtube.com/channel/UCLdat-IuWhwjM_RUyjQ99nQ")</f>
        <v>http://www.youtube.com/channel/UCLdat-IuWhwjM_RUyjQ99nQ</v>
      </c>
      <c r="U103" s="84"/>
      <c r="V103" s="84" t="s">
        <v>1464</v>
      </c>
      <c r="W103" s="90" t="str">
        <f>HYPERLINK("https://www.youtube.com/watch?v=fpr5R_NcvJE")</f>
        <v>https://www.youtube.com/watch?v=fpr5R_NcvJE</v>
      </c>
      <c r="X103" s="84" t="s">
        <v>1537</v>
      </c>
      <c r="Y103" s="84">
        <v>0</v>
      </c>
      <c r="Z103" s="84" t="s">
        <v>1589</v>
      </c>
      <c r="AA103" s="84" t="s">
        <v>1589</v>
      </c>
      <c r="AB103" s="84"/>
      <c r="AC103" s="84"/>
      <c r="AD103" s="88" t="s">
        <v>1874</v>
      </c>
      <c r="AE103" s="86">
        <v>1</v>
      </c>
      <c r="AF103" s="87" t="str">
        <f>REPLACE(INDEX(GroupVertices[Group],MATCH(Edges[[#This Row],[Vertex 1]],GroupVertices[Vertex],0)),1,1,"")</f>
        <v>9</v>
      </c>
      <c r="AG103" s="87" t="str">
        <f>REPLACE(INDEX(GroupVertices[Group],MATCH(Edges[[#This Row],[Vertex 2]],GroupVertices[Vertex],0)),1,1,"")</f>
        <v>9</v>
      </c>
      <c r="AH103" s="105"/>
      <c r="AI103" s="105"/>
      <c r="AJ103" s="105"/>
      <c r="AK103" s="105"/>
      <c r="AL103" s="105"/>
      <c r="AM103" s="105"/>
      <c r="AN103" s="105"/>
      <c r="AO103" s="105"/>
      <c r="AP103" s="105"/>
    </row>
    <row r="104" spans="1:42" ht="15">
      <c r="A104" s="61" t="s">
        <v>318</v>
      </c>
      <c r="B104" s="61" t="s">
        <v>629</v>
      </c>
      <c r="C104" s="62" t="s">
        <v>2891</v>
      </c>
      <c r="D104" s="63">
        <v>5</v>
      </c>
      <c r="E104" s="62"/>
      <c r="F104" s="65">
        <v>25</v>
      </c>
      <c r="G104" s="62"/>
      <c r="H104" s="66"/>
      <c r="I104" s="67"/>
      <c r="J104" s="67"/>
      <c r="K104" s="31" t="s">
        <v>65</v>
      </c>
      <c r="L104" s="68">
        <v>104</v>
      </c>
      <c r="M104" s="68"/>
      <c r="N104" s="69"/>
      <c r="O104" s="84" t="s">
        <v>653</v>
      </c>
      <c r="P104" s="84" t="s">
        <v>215</v>
      </c>
      <c r="Q104" s="88" t="s">
        <v>755</v>
      </c>
      <c r="R104" s="84" t="s">
        <v>318</v>
      </c>
      <c r="S104" s="84" t="s">
        <v>1156</v>
      </c>
      <c r="T104" s="90" t="str">
        <f>HYPERLINK("http://www.youtube.com/channel/UC1NI1UZs29qeVJzkvTrJabw")</f>
        <v>http://www.youtube.com/channel/UC1NI1UZs29qeVJzkvTrJabw</v>
      </c>
      <c r="U104" s="84"/>
      <c r="V104" s="84" t="s">
        <v>1464</v>
      </c>
      <c r="W104" s="90" t="str">
        <f>HYPERLINK("https://www.youtube.com/watch?v=fpr5R_NcvJE")</f>
        <v>https://www.youtube.com/watch?v=fpr5R_NcvJE</v>
      </c>
      <c r="X104" s="84" t="s">
        <v>1537</v>
      </c>
      <c r="Y104" s="84">
        <v>0</v>
      </c>
      <c r="Z104" s="93">
        <v>45021.831400462965</v>
      </c>
      <c r="AA104" s="93">
        <v>45021.831400462965</v>
      </c>
      <c r="AB104" s="84"/>
      <c r="AC104" s="84"/>
      <c r="AD104" s="88" t="s">
        <v>1874</v>
      </c>
      <c r="AE104" s="86">
        <v>1</v>
      </c>
      <c r="AF104" s="87" t="str">
        <f>REPLACE(INDEX(GroupVertices[Group],MATCH(Edges[[#This Row],[Vertex 1]],GroupVertices[Vertex],0)),1,1,"")</f>
        <v>9</v>
      </c>
      <c r="AG104" s="87" t="str">
        <f>REPLACE(INDEX(GroupVertices[Group],MATCH(Edges[[#This Row],[Vertex 2]],GroupVertices[Vertex],0)),1,1,"")</f>
        <v>9</v>
      </c>
      <c r="AH104" s="105"/>
      <c r="AI104" s="105"/>
      <c r="AJ104" s="105"/>
      <c r="AK104" s="105"/>
      <c r="AL104" s="105"/>
      <c r="AM104" s="105"/>
      <c r="AN104" s="105"/>
      <c r="AO104" s="105"/>
      <c r="AP104" s="105"/>
    </row>
    <row r="105" spans="1:42" ht="15">
      <c r="A105" s="61" t="s">
        <v>319</v>
      </c>
      <c r="B105" s="61" t="s">
        <v>629</v>
      </c>
      <c r="C105" s="62" t="s">
        <v>2892</v>
      </c>
      <c r="D105" s="63">
        <v>5.833333333333333</v>
      </c>
      <c r="E105" s="62"/>
      <c r="F105" s="65">
        <v>15</v>
      </c>
      <c r="G105" s="62"/>
      <c r="H105" s="66"/>
      <c r="I105" s="67"/>
      <c r="J105" s="67"/>
      <c r="K105" s="31" t="s">
        <v>65</v>
      </c>
      <c r="L105" s="68">
        <v>105</v>
      </c>
      <c r="M105" s="68"/>
      <c r="N105" s="69"/>
      <c r="O105" s="84" t="s">
        <v>653</v>
      </c>
      <c r="P105" s="84" t="s">
        <v>215</v>
      </c>
      <c r="Q105" s="88" t="s">
        <v>756</v>
      </c>
      <c r="R105" s="84" t="s">
        <v>319</v>
      </c>
      <c r="S105" s="84" t="s">
        <v>1157</v>
      </c>
      <c r="T105" s="90" t="str">
        <f>HYPERLINK("http://www.youtube.com/channel/UC4IJp6gm5YFySJVfeHs3fEw")</f>
        <v>http://www.youtube.com/channel/UC4IJp6gm5YFySJVfeHs3fEw</v>
      </c>
      <c r="U105" s="84"/>
      <c r="V105" s="84" t="s">
        <v>1464</v>
      </c>
      <c r="W105" s="90" t="str">
        <f>HYPERLINK("https://www.youtube.com/watch?v=fpr5R_NcvJE")</f>
        <v>https://www.youtube.com/watch?v=fpr5R_NcvJE</v>
      </c>
      <c r="X105" s="84" t="s">
        <v>1537</v>
      </c>
      <c r="Y105" s="84">
        <v>0</v>
      </c>
      <c r="Z105" s="84" t="s">
        <v>1590</v>
      </c>
      <c r="AA105" s="84" t="s">
        <v>1590</v>
      </c>
      <c r="AB105" s="84"/>
      <c r="AC105" s="84"/>
      <c r="AD105" s="88" t="s">
        <v>1874</v>
      </c>
      <c r="AE105" s="86">
        <v>2</v>
      </c>
      <c r="AF105" s="87" t="str">
        <f>REPLACE(INDEX(GroupVertices[Group],MATCH(Edges[[#This Row],[Vertex 1]],GroupVertices[Vertex],0)),1,1,"")</f>
        <v>9</v>
      </c>
      <c r="AG105" s="87" t="str">
        <f>REPLACE(INDEX(GroupVertices[Group],MATCH(Edges[[#This Row],[Vertex 2]],GroupVertices[Vertex],0)),1,1,"")</f>
        <v>9</v>
      </c>
      <c r="AH105" s="105"/>
      <c r="AI105" s="105"/>
      <c r="AJ105" s="105"/>
      <c r="AK105" s="105"/>
      <c r="AL105" s="105"/>
      <c r="AM105" s="105"/>
      <c r="AN105" s="105"/>
      <c r="AO105" s="105"/>
      <c r="AP105" s="105"/>
    </row>
    <row r="106" spans="1:42" ht="15">
      <c r="A106" s="61" t="s">
        <v>319</v>
      </c>
      <c r="B106" s="61" t="s">
        <v>629</v>
      </c>
      <c r="C106" s="62" t="s">
        <v>2892</v>
      </c>
      <c r="D106" s="63">
        <v>5.833333333333333</v>
      </c>
      <c r="E106" s="62"/>
      <c r="F106" s="65">
        <v>15</v>
      </c>
      <c r="G106" s="62"/>
      <c r="H106" s="66"/>
      <c r="I106" s="67"/>
      <c r="J106" s="67"/>
      <c r="K106" s="31" t="s">
        <v>65</v>
      </c>
      <c r="L106" s="68">
        <v>106</v>
      </c>
      <c r="M106" s="68"/>
      <c r="N106" s="69"/>
      <c r="O106" s="84" t="s">
        <v>653</v>
      </c>
      <c r="P106" s="84" t="s">
        <v>215</v>
      </c>
      <c r="Q106" s="88" t="s">
        <v>757</v>
      </c>
      <c r="R106" s="84" t="s">
        <v>319</v>
      </c>
      <c r="S106" s="84" t="s">
        <v>1157</v>
      </c>
      <c r="T106" s="90" t="str">
        <f>HYPERLINK("http://www.youtube.com/channel/UC4IJp6gm5YFySJVfeHs3fEw")</f>
        <v>http://www.youtube.com/channel/UC4IJp6gm5YFySJVfeHs3fEw</v>
      </c>
      <c r="U106" s="84"/>
      <c r="V106" s="84" t="s">
        <v>1464</v>
      </c>
      <c r="W106" s="90" t="str">
        <f>HYPERLINK("https://www.youtube.com/watch?v=fpr5R_NcvJE")</f>
        <v>https://www.youtube.com/watch?v=fpr5R_NcvJE</v>
      </c>
      <c r="X106" s="84" t="s">
        <v>1537</v>
      </c>
      <c r="Y106" s="84">
        <v>0</v>
      </c>
      <c r="Z106" s="84" t="s">
        <v>1591</v>
      </c>
      <c r="AA106" s="84" t="s">
        <v>1591</v>
      </c>
      <c r="AB106" s="84"/>
      <c r="AC106" s="84"/>
      <c r="AD106" s="88" t="s">
        <v>1874</v>
      </c>
      <c r="AE106" s="86">
        <v>2</v>
      </c>
      <c r="AF106" s="87" t="str">
        <f>REPLACE(INDEX(GroupVertices[Group],MATCH(Edges[[#This Row],[Vertex 1]],GroupVertices[Vertex],0)),1,1,"")</f>
        <v>9</v>
      </c>
      <c r="AG106" s="87" t="str">
        <f>REPLACE(INDEX(GroupVertices[Group],MATCH(Edges[[#This Row],[Vertex 2]],GroupVertices[Vertex],0)),1,1,"")</f>
        <v>9</v>
      </c>
      <c r="AH106" s="105"/>
      <c r="AI106" s="105"/>
      <c r="AJ106" s="105"/>
      <c r="AK106" s="105"/>
      <c r="AL106" s="105"/>
      <c r="AM106" s="105"/>
      <c r="AN106" s="105"/>
      <c r="AO106" s="105"/>
      <c r="AP106" s="105"/>
    </row>
    <row r="107" spans="1:42" ht="15">
      <c r="A107" s="61" t="s">
        <v>320</v>
      </c>
      <c r="B107" s="61" t="s">
        <v>630</v>
      </c>
      <c r="C107" s="62" t="s">
        <v>2891</v>
      </c>
      <c r="D107" s="63">
        <v>5</v>
      </c>
      <c r="E107" s="62"/>
      <c r="F107" s="65">
        <v>25</v>
      </c>
      <c r="G107" s="62"/>
      <c r="H107" s="66"/>
      <c r="I107" s="67"/>
      <c r="J107" s="67"/>
      <c r="K107" s="31" t="s">
        <v>65</v>
      </c>
      <c r="L107" s="68">
        <v>107</v>
      </c>
      <c r="M107" s="68"/>
      <c r="N107" s="69"/>
      <c r="O107" s="84" t="s">
        <v>653</v>
      </c>
      <c r="P107" s="84" t="s">
        <v>215</v>
      </c>
      <c r="Q107" s="88" t="s">
        <v>758</v>
      </c>
      <c r="R107" s="84" t="s">
        <v>320</v>
      </c>
      <c r="S107" s="84" t="s">
        <v>1158</v>
      </c>
      <c r="T107" s="90" t="str">
        <f>HYPERLINK("http://www.youtube.com/channel/UCeGa5FIY31wzupUsnFNWEJQ")</f>
        <v>http://www.youtube.com/channel/UCeGa5FIY31wzupUsnFNWEJQ</v>
      </c>
      <c r="U107" s="84"/>
      <c r="V107" s="84" t="s">
        <v>1465</v>
      </c>
      <c r="W107" s="90" t="str">
        <f>HYPERLINK("https://www.youtube.com/watch?v=rMSUji0aN-k")</f>
        <v>https://www.youtube.com/watch?v=rMSUji0aN-k</v>
      </c>
      <c r="X107" s="84" t="s">
        <v>1537</v>
      </c>
      <c r="Y107" s="84">
        <v>2</v>
      </c>
      <c r="Z107" s="84" t="s">
        <v>1592</v>
      </c>
      <c r="AA107" s="84" t="s">
        <v>1592</v>
      </c>
      <c r="AB107" s="84"/>
      <c r="AC107" s="84"/>
      <c r="AD107" s="88" t="s">
        <v>1874</v>
      </c>
      <c r="AE107" s="86">
        <v>1</v>
      </c>
      <c r="AF107" s="87" t="str">
        <f>REPLACE(INDEX(GroupVertices[Group],MATCH(Edges[[#This Row],[Vertex 1]],GroupVertices[Vertex],0)),1,1,"")</f>
        <v>5</v>
      </c>
      <c r="AG107" s="87" t="str">
        <f>REPLACE(INDEX(GroupVertices[Group],MATCH(Edges[[#This Row],[Vertex 2]],GroupVertices[Vertex],0)),1,1,"")</f>
        <v>5</v>
      </c>
      <c r="AH107" s="105"/>
      <c r="AI107" s="105"/>
      <c r="AJ107" s="105"/>
      <c r="AK107" s="105"/>
      <c r="AL107" s="105"/>
      <c r="AM107" s="105"/>
      <c r="AN107" s="105"/>
      <c r="AO107" s="105"/>
      <c r="AP107" s="105"/>
    </row>
    <row r="108" spans="1:42" ht="15">
      <c r="A108" s="61" t="s">
        <v>321</v>
      </c>
      <c r="B108" s="61" t="s">
        <v>631</v>
      </c>
      <c r="C108" s="62" t="s">
        <v>2891</v>
      </c>
      <c r="D108" s="63">
        <v>5</v>
      </c>
      <c r="E108" s="62"/>
      <c r="F108" s="65">
        <v>25</v>
      </c>
      <c r="G108" s="62"/>
      <c r="H108" s="66"/>
      <c r="I108" s="67"/>
      <c r="J108" s="67"/>
      <c r="K108" s="31" t="s">
        <v>65</v>
      </c>
      <c r="L108" s="68">
        <v>108</v>
      </c>
      <c r="M108" s="68"/>
      <c r="N108" s="69"/>
      <c r="O108" s="84" t="s">
        <v>653</v>
      </c>
      <c r="P108" s="84" t="s">
        <v>215</v>
      </c>
      <c r="Q108" s="88" t="s">
        <v>759</v>
      </c>
      <c r="R108" s="84" t="s">
        <v>321</v>
      </c>
      <c r="S108" s="84" t="s">
        <v>1159</v>
      </c>
      <c r="T108" s="90" t="str">
        <f>HYPERLINK("http://www.youtube.com/channel/UC1XPJ5vLtXBZTfibRvUtRtQ")</f>
        <v>http://www.youtube.com/channel/UC1XPJ5vLtXBZTfibRvUtRtQ</v>
      </c>
      <c r="U108" s="84"/>
      <c r="V108" s="84" t="s">
        <v>1466</v>
      </c>
      <c r="W108" s="90" t="str">
        <f>HYPERLINK("https://www.youtube.com/watch?v=HipO6JFo3Jw")</f>
        <v>https://www.youtube.com/watch?v=HipO6JFo3Jw</v>
      </c>
      <c r="X108" s="84" t="s">
        <v>1537</v>
      </c>
      <c r="Y108" s="84">
        <v>0</v>
      </c>
      <c r="Z108" s="84" t="s">
        <v>1593</v>
      </c>
      <c r="AA108" s="84" t="s">
        <v>1593</v>
      </c>
      <c r="AB108" s="84"/>
      <c r="AC108" s="84"/>
      <c r="AD108" s="88" t="s">
        <v>1874</v>
      </c>
      <c r="AE108" s="86">
        <v>1</v>
      </c>
      <c r="AF108" s="87" t="str">
        <f>REPLACE(INDEX(GroupVertices[Group],MATCH(Edges[[#This Row],[Vertex 1]],GroupVertices[Vertex],0)),1,1,"")</f>
        <v>14</v>
      </c>
      <c r="AG108" s="87" t="str">
        <f>REPLACE(INDEX(GroupVertices[Group],MATCH(Edges[[#This Row],[Vertex 2]],GroupVertices[Vertex],0)),1,1,"")</f>
        <v>14</v>
      </c>
      <c r="AH108" s="105"/>
      <c r="AI108" s="105"/>
      <c r="AJ108" s="105"/>
      <c r="AK108" s="105"/>
      <c r="AL108" s="105"/>
      <c r="AM108" s="105"/>
      <c r="AN108" s="105"/>
      <c r="AO108" s="105"/>
      <c r="AP108" s="105"/>
    </row>
    <row r="109" spans="1:42" ht="15">
      <c r="A109" s="61" t="s">
        <v>322</v>
      </c>
      <c r="B109" s="61" t="s">
        <v>631</v>
      </c>
      <c r="C109" s="62" t="s">
        <v>2891</v>
      </c>
      <c r="D109" s="63">
        <v>5</v>
      </c>
      <c r="E109" s="62"/>
      <c r="F109" s="65">
        <v>25</v>
      </c>
      <c r="G109" s="62"/>
      <c r="H109" s="66"/>
      <c r="I109" s="67"/>
      <c r="J109" s="67"/>
      <c r="K109" s="31" t="s">
        <v>65</v>
      </c>
      <c r="L109" s="68">
        <v>109</v>
      </c>
      <c r="M109" s="68"/>
      <c r="N109" s="69"/>
      <c r="O109" s="84" t="s">
        <v>653</v>
      </c>
      <c r="P109" s="84" t="s">
        <v>215</v>
      </c>
      <c r="Q109" s="88" t="s">
        <v>760</v>
      </c>
      <c r="R109" s="84" t="s">
        <v>322</v>
      </c>
      <c r="S109" s="84" t="s">
        <v>1160</v>
      </c>
      <c r="T109" s="90" t="str">
        <f>HYPERLINK("http://www.youtube.com/channel/UC8snplx2TiU5gGqiz0U1qIA")</f>
        <v>http://www.youtube.com/channel/UC8snplx2TiU5gGqiz0U1qIA</v>
      </c>
      <c r="U109" s="84"/>
      <c r="V109" s="84" t="s">
        <v>1466</v>
      </c>
      <c r="W109" s="90" t="str">
        <f>HYPERLINK("https://www.youtube.com/watch?v=HipO6JFo3Jw")</f>
        <v>https://www.youtube.com/watch?v=HipO6JFo3Jw</v>
      </c>
      <c r="X109" s="84" t="s">
        <v>1537</v>
      </c>
      <c r="Y109" s="84">
        <v>0</v>
      </c>
      <c r="Z109" s="84" t="s">
        <v>1594</v>
      </c>
      <c r="AA109" s="84" t="s">
        <v>1594</v>
      </c>
      <c r="AB109" s="84"/>
      <c r="AC109" s="84"/>
      <c r="AD109" s="88" t="s">
        <v>1874</v>
      </c>
      <c r="AE109" s="86">
        <v>1</v>
      </c>
      <c r="AF109" s="87" t="str">
        <f>REPLACE(INDEX(GroupVertices[Group],MATCH(Edges[[#This Row],[Vertex 1]],GroupVertices[Vertex],0)),1,1,"")</f>
        <v>14</v>
      </c>
      <c r="AG109" s="87" t="str">
        <f>REPLACE(INDEX(GroupVertices[Group],MATCH(Edges[[#This Row],[Vertex 2]],GroupVertices[Vertex],0)),1,1,"")</f>
        <v>14</v>
      </c>
      <c r="AH109" s="105"/>
      <c r="AI109" s="105"/>
      <c r="AJ109" s="105"/>
      <c r="AK109" s="105"/>
      <c r="AL109" s="105"/>
      <c r="AM109" s="105"/>
      <c r="AN109" s="105"/>
      <c r="AO109" s="105"/>
      <c r="AP109" s="105"/>
    </row>
    <row r="110" spans="1:42" ht="15">
      <c r="A110" s="61" t="s">
        <v>323</v>
      </c>
      <c r="B110" s="61" t="s">
        <v>631</v>
      </c>
      <c r="C110" s="62" t="s">
        <v>2891</v>
      </c>
      <c r="D110" s="63">
        <v>5</v>
      </c>
      <c r="E110" s="62"/>
      <c r="F110" s="65">
        <v>25</v>
      </c>
      <c r="G110" s="62"/>
      <c r="H110" s="66"/>
      <c r="I110" s="67"/>
      <c r="J110" s="67"/>
      <c r="K110" s="31" t="s">
        <v>65</v>
      </c>
      <c r="L110" s="68">
        <v>110</v>
      </c>
      <c r="M110" s="68"/>
      <c r="N110" s="69"/>
      <c r="O110" s="84" t="s">
        <v>653</v>
      </c>
      <c r="P110" s="84" t="s">
        <v>215</v>
      </c>
      <c r="Q110" s="88" t="s">
        <v>761</v>
      </c>
      <c r="R110" s="84" t="s">
        <v>323</v>
      </c>
      <c r="S110" s="84" t="s">
        <v>1161</v>
      </c>
      <c r="T110" s="90" t="str">
        <f>HYPERLINK("http://www.youtube.com/channel/UC5P23b4KYX5N4tjeS63xC9g")</f>
        <v>http://www.youtube.com/channel/UC5P23b4KYX5N4tjeS63xC9g</v>
      </c>
      <c r="U110" s="84"/>
      <c r="V110" s="84" t="s">
        <v>1466</v>
      </c>
      <c r="W110" s="90" t="str">
        <f>HYPERLINK("https://www.youtube.com/watch?v=HipO6JFo3Jw")</f>
        <v>https://www.youtube.com/watch?v=HipO6JFo3Jw</v>
      </c>
      <c r="X110" s="84" t="s">
        <v>1537</v>
      </c>
      <c r="Y110" s="84">
        <v>0</v>
      </c>
      <c r="Z110" s="84" t="s">
        <v>1595</v>
      </c>
      <c r="AA110" s="84" t="s">
        <v>1595</v>
      </c>
      <c r="AB110" s="84"/>
      <c r="AC110" s="84"/>
      <c r="AD110" s="88" t="s">
        <v>1874</v>
      </c>
      <c r="AE110" s="86">
        <v>1</v>
      </c>
      <c r="AF110" s="87" t="str">
        <f>REPLACE(INDEX(GroupVertices[Group],MATCH(Edges[[#This Row],[Vertex 1]],GroupVertices[Vertex],0)),1,1,"")</f>
        <v>14</v>
      </c>
      <c r="AG110" s="87" t="str">
        <f>REPLACE(INDEX(GroupVertices[Group],MATCH(Edges[[#This Row],[Vertex 2]],GroupVertices[Vertex],0)),1,1,"")</f>
        <v>14</v>
      </c>
      <c r="AH110" s="105"/>
      <c r="AI110" s="105"/>
      <c r="AJ110" s="105"/>
      <c r="AK110" s="105"/>
      <c r="AL110" s="105"/>
      <c r="AM110" s="105"/>
      <c r="AN110" s="105"/>
      <c r="AO110" s="105"/>
      <c r="AP110" s="105"/>
    </row>
    <row r="111" spans="1:42" ht="15">
      <c r="A111" s="61" t="s">
        <v>324</v>
      </c>
      <c r="B111" s="61" t="s">
        <v>642</v>
      </c>
      <c r="C111" s="62" t="s">
        <v>2891</v>
      </c>
      <c r="D111" s="63">
        <v>5</v>
      </c>
      <c r="E111" s="62"/>
      <c r="F111" s="65">
        <v>25</v>
      </c>
      <c r="G111" s="62"/>
      <c r="H111" s="66"/>
      <c r="I111" s="67"/>
      <c r="J111" s="67"/>
      <c r="K111" s="31" t="s">
        <v>65</v>
      </c>
      <c r="L111" s="68">
        <v>111</v>
      </c>
      <c r="M111" s="68"/>
      <c r="N111" s="69"/>
      <c r="O111" s="84" t="s">
        <v>653</v>
      </c>
      <c r="P111" s="84" t="s">
        <v>215</v>
      </c>
      <c r="Q111" s="88" t="s">
        <v>762</v>
      </c>
      <c r="R111" s="84" t="s">
        <v>324</v>
      </c>
      <c r="S111" s="84" t="s">
        <v>1162</v>
      </c>
      <c r="T111" s="90" t="str">
        <f>HYPERLINK("http://www.youtube.com/channel/UCYln4qk3saFeNWFq8nd7KKA")</f>
        <v>http://www.youtube.com/channel/UCYln4qk3saFeNWFq8nd7KKA</v>
      </c>
      <c r="U111" s="84"/>
      <c r="V111" s="84" t="s">
        <v>1467</v>
      </c>
      <c r="W111" s="90" t="str">
        <f>HYPERLINK("https://www.youtube.com/watch?v=uBEOAeAliTY")</f>
        <v>https://www.youtube.com/watch?v=uBEOAeAliTY</v>
      </c>
      <c r="X111" s="84" t="s">
        <v>1537</v>
      </c>
      <c r="Y111" s="84">
        <v>0</v>
      </c>
      <c r="Z111" s="93">
        <v>44167.96493055556</v>
      </c>
      <c r="AA111" s="93">
        <v>44167.96493055556</v>
      </c>
      <c r="AB111" s="84"/>
      <c r="AC111" s="84"/>
      <c r="AD111" s="88" t="s">
        <v>1874</v>
      </c>
      <c r="AE111" s="86">
        <v>1</v>
      </c>
      <c r="AF111" s="87" t="str">
        <f>REPLACE(INDEX(GroupVertices[Group],MATCH(Edges[[#This Row],[Vertex 1]],GroupVertices[Vertex],0)),1,1,"")</f>
        <v>3</v>
      </c>
      <c r="AG111" s="87" t="str">
        <f>REPLACE(INDEX(GroupVertices[Group],MATCH(Edges[[#This Row],[Vertex 2]],GroupVertices[Vertex],0)),1,1,"")</f>
        <v>3</v>
      </c>
      <c r="AH111" s="105"/>
      <c r="AI111" s="105"/>
      <c r="AJ111" s="105"/>
      <c r="AK111" s="105"/>
      <c r="AL111" s="105"/>
      <c r="AM111" s="105"/>
      <c r="AN111" s="105"/>
      <c r="AO111" s="105"/>
      <c r="AP111" s="105"/>
    </row>
    <row r="112" spans="1:42" ht="15">
      <c r="A112" s="61" t="s">
        <v>325</v>
      </c>
      <c r="B112" s="61" t="s">
        <v>638</v>
      </c>
      <c r="C112" s="62" t="s">
        <v>2891</v>
      </c>
      <c r="D112" s="63">
        <v>5</v>
      </c>
      <c r="E112" s="62"/>
      <c r="F112" s="65">
        <v>25</v>
      </c>
      <c r="G112" s="62"/>
      <c r="H112" s="66"/>
      <c r="I112" s="67"/>
      <c r="J112" s="67"/>
      <c r="K112" s="31" t="s">
        <v>65</v>
      </c>
      <c r="L112" s="68">
        <v>112</v>
      </c>
      <c r="M112" s="68"/>
      <c r="N112" s="69"/>
      <c r="O112" s="84" t="s">
        <v>653</v>
      </c>
      <c r="P112" s="84" t="s">
        <v>215</v>
      </c>
      <c r="Q112" s="88" t="s">
        <v>763</v>
      </c>
      <c r="R112" s="84" t="s">
        <v>325</v>
      </c>
      <c r="S112" s="84" t="s">
        <v>1163</v>
      </c>
      <c r="T112" s="90" t="str">
        <f>HYPERLINK("http://www.youtube.com/channel/UCAS2BN5rQ4UWOT4iFcaezAQ")</f>
        <v>http://www.youtube.com/channel/UCAS2BN5rQ4UWOT4iFcaezAQ</v>
      </c>
      <c r="U112" s="84"/>
      <c r="V112" s="84" t="s">
        <v>1468</v>
      </c>
      <c r="W112" s="90" t="str">
        <f>HYPERLINK("https://www.youtube.com/watch?v=E5pyLl4d1n4")</f>
        <v>https://www.youtube.com/watch?v=E5pyLl4d1n4</v>
      </c>
      <c r="X112" s="84" t="s">
        <v>1537</v>
      </c>
      <c r="Y112" s="84">
        <v>0</v>
      </c>
      <c r="Z112" s="84" t="s">
        <v>1596</v>
      </c>
      <c r="AA112" s="84" t="s">
        <v>1596</v>
      </c>
      <c r="AB112" s="84"/>
      <c r="AC112" s="84"/>
      <c r="AD112" s="88" t="s">
        <v>1874</v>
      </c>
      <c r="AE112" s="86">
        <v>1</v>
      </c>
      <c r="AF112" s="87" t="str">
        <f>REPLACE(INDEX(GroupVertices[Group],MATCH(Edges[[#This Row],[Vertex 1]],GroupVertices[Vertex],0)),1,1,"")</f>
        <v>11</v>
      </c>
      <c r="AG112" s="87" t="str">
        <f>REPLACE(INDEX(GroupVertices[Group],MATCH(Edges[[#This Row],[Vertex 2]],GroupVertices[Vertex],0)),1,1,"")</f>
        <v>11</v>
      </c>
      <c r="AH112" s="105"/>
      <c r="AI112" s="105"/>
      <c r="AJ112" s="105"/>
      <c r="AK112" s="105"/>
      <c r="AL112" s="105"/>
      <c r="AM112" s="105"/>
      <c r="AN112" s="105"/>
      <c r="AO112" s="105"/>
      <c r="AP112" s="105"/>
    </row>
    <row r="113" spans="1:42" ht="15">
      <c r="A113" s="61" t="s">
        <v>326</v>
      </c>
      <c r="B113" s="61" t="s">
        <v>642</v>
      </c>
      <c r="C113" s="62" t="s">
        <v>2891</v>
      </c>
      <c r="D113" s="63">
        <v>5</v>
      </c>
      <c r="E113" s="62"/>
      <c r="F113" s="65">
        <v>25</v>
      </c>
      <c r="G113" s="62"/>
      <c r="H113" s="66"/>
      <c r="I113" s="67"/>
      <c r="J113" s="67"/>
      <c r="K113" s="31" t="s">
        <v>65</v>
      </c>
      <c r="L113" s="68">
        <v>113</v>
      </c>
      <c r="M113" s="68"/>
      <c r="N113" s="69"/>
      <c r="O113" s="84" t="s">
        <v>653</v>
      </c>
      <c r="P113" s="84" t="s">
        <v>215</v>
      </c>
      <c r="Q113" s="88" t="s">
        <v>764</v>
      </c>
      <c r="R113" s="84" t="s">
        <v>326</v>
      </c>
      <c r="S113" s="84" t="s">
        <v>1164</v>
      </c>
      <c r="T113" s="90" t="str">
        <f>HYPERLINK("http://www.youtube.com/channel/UCEY44ER-URmrBNbhnFG6elA")</f>
        <v>http://www.youtube.com/channel/UCEY44ER-URmrBNbhnFG6elA</v>
      </c>
      <c r="U113" s="84"/>
      <c r="V113" s="84" t="s">
        <v>1469</v>
      </c>
      <c r="W113" s="90" t="str">
        <f>HYPERLINK("https://www.youtube.com/watch?v=qztPIekPtdY")</f>
        <v>https://www.youtube.com/watch?v=qztPIekPtdY</v>
      </c>
      <c r="X113" s="84" t="s">
        <v>1537</v>
      </c>
      <c r="Y113" s="84">
        <v>0</v>
      </c>
      <c r="Z113" s="84" t="s">
        <v>1597</v>
      </c>
      <c r="AA113" s="84" t="s">
        <v>1597</v>
      </c>
      <c r="AB113" s="84"/>
      <c r="AC113" s="84"/>
      <c r="AD113" s="88" t="s">
        <v>1874</v>
      </c>
      <c r="AE113" s="86">
        <v>1</v>
      </c>
      <c r="AF113" s="87" t="str">
        <f>REPLACE(INDEX(GroupVertices[Group],MATCH(Edges[[#This Row],[Vertex 1]],GroupVertices[Vertex],0)),1,1,"")</f>
        <v>3</v>
      </c>
      <c r="AG113" s="87" t="str">
        <f>REPLACE(INDEX(GroupVertices[Group],MATCH(Edges[[#This Row],[Vertex 2]],GroupVertices[Vertex],0)),1,1,"")</f>
        <v>3</v>
      </c>
      <c r="AH113" s="105"/>
      <c r="AI113" s="105"/>
      <c r="AJ113" s="105"/>
      <c r="AK113" s="105"/>
      <c r="AL113" s="105"/>
      <c r="AM113" s="105"/>
      <c r="AN113" s="105"/>
      <c r="AO113" s="105"/>
      <c r="AP113" s="105"/>
    </row>
    <row r="114" spans="1:42" ht="15">
      <c r="A114" s="61" t="s">
        <v>327</v>
      </c>
      <c r="B114" s="61" t="s">
        <v>633</v>
      </c>
      <c r="C114" s="62" t="s">
        <v>2891</v>
      </c>
      <c r="D114" s="63">
        <v>5</v>
      </c>
      <c r="E114" s="62"/>
      <c r="F114" s="65">
        <v>25</v>
      </c>
      <c r="G114" s="62"/>
      <c r="H114" s="66"/>
      <c r="I114" s="67"/>
      <c r="J114" s="67"/>
      <c r="K114" s="31" t="s">
        <v>65</v>
      </c>
      <c r="L114" s="68">
        <v>114</v>
      </c>
      <c r="M114" s="68"/>
      <c r="N114" s="69"/>
      <c r="O114" s="84" t="s">
        <v>653</v>
      </c>
      <c r="P114" s="84" t="s">
        <v>215</v>
      </c>
      <c r="Q114" s="88" t="s">
        <v>765</v>
      </c>
      <c r="R114" s="84" t="s">
        <v>327</v>
      </c>
      <c r="S114" s="84" t="s">
        <v>1165</v>
      </c>
      <c r="T114" s="90" t="str">
        <f>HYPERLINK("http://www.youtube.com/channel/UCRG4Q5V4apEvXyyvDNKXRLw")</f>
        <v>http://www.youtube.com/channel/UCRG4Q5V4apEvXyyvDNKXRLw</v>
      </c>
      <c r="U114" s="84"/>
      <c r="V114" s="84" t="s">
        <v>1470</v>
      </c>
      <c r="W114" s="90" t="str">
        <f>HYPERLINK("https://www.youtube.com/watch?v=Zca2pBScnF8")</f>
        <v>https://www.youtube.com/watch?v=Zca2pBScnF8</v>
      </c>
      <c r="X114" s="84" t="s">
        <v>1537</v>
      </c>
      <c r="Y114" s="84">
        <v>1</v>
      </c>
      <c r="Z114" s="84" t="s">
        <v>1598</v>
      </c>
      <c r="AA114" s="84" t="s">
        <v>1598</v>
      </c>
      <c r="AB114" s="84"/>
      <c r="AC114" s="84"/>
      <c r="AD114" s="88" t="s">
        <v>1874</v>
      </c>
      <c r="AE114" s="86">
        <v>1</v>
      </c>
      <c r="AF114" s="87" t="str">
        <f>REPLACE(INDEX(GroupVertices[Group],MATCH(Edges[[#This Row],[Vertex 1]],GroupVertices[Vertex],0)),1,1,"")</f>
        <v>17</v>
      </c>
      <c r="AG114" s="87" t="str">
        <f>REPLACE(INDEX(GroupVertices[Group],MATCH(Edges[[#This Row],[Vertex 2]],GroupVertices[Vertex],0)),1,1,"")</f>
        <v>17</v>
      </c>
      <c r="AH114" s="105"/>
      <c r="AI114" s="105"/>
      <c r="AJ114" s="105"/>
      <c r="AK114" s="105"/>
      <c r="AL114" s="105"/>
      <c r="AM114" s="105"/>
      <c r="AN114" s="105"/>
      <c r="AO114" s="105"/>
      <c r="AP114" s="105"/>
    </row>
    <row r="115" spans="1:42" ht="15">
      <c r="A115" s="61" t="s">
        <v>328</v>
      </c>
      <c r="B115" s="61" t="s">
        <v>633</v>
      </c>
      <c r="C115" s="62" t="s">
        <v>2891</v>
      </c>
      <c r="D115" s="63">
        <v>5</v>
      </c>
      <c r="E115" s="62"/>
      <c r="F115" s="65">
        <v>25</v>
      </c>
      <c r="G115" s="62"/>
      <c r="H115" s="66"/>
      <c r="I115" s="67"/>
      <c r="J115" s="67"/>
      <c r="K115" s="31" t="s">
        <v>65</v>
      </c>
      <c r="L115" s="68">
        <v>115</v>
      </c>
      <c r="M115" s="68"/>
      <c r="N115" s="69"/>
      <c r="O115" s="84" t="s">
        <v>653</v>
      </c>
      <c r="P115" s="84" t="s">
        <v>215</v>
      </c>
      <c r="Q115" s="88" t="s">
        <v>766</v>
      </c>
      <c r="R115" s="84" t="s">
        <v>328</v>
      </c>
      <c r="S115" s="84" t="s">
        <v>1166</v>
      </c>
      <c r="T115" s="90" t="str">
        <f>HYPERLINK("http://www.youtube.com/channel/UCr_PxAeXEoLiQejFpVmky3Q")</f>
        <v>http://www.youtube.com/channel/UCr_PxAeXEoLiQejFpVmky3Q</v>
      </c>
      <c r="U115" s="84"/>
      <c r="V115" s="84" t="s">
        <v>1470</v>
      </c>
      <c r="W115" s="90" t="str">
        <f>HYPERLINK("https://www.youtube.com/watch?v=Zca2pBScnF8")</f>
        <v>https://www.youtube.com/watch?v=Zca2pBScnF8</v>
      </c>
      <c r="X115" s="84" t="s">
        <v>1537</v>
      </c>
      <c r="Y115" s="84">
        <v>0</v>
      </c>
      <c r="Z115" s="93">
        <v>44328.28277777778</v>
      </c>
      <c r="AA115" s="93">
        <v>44328.28277777778</v>
      </c>
      <c r="AB115" s="84"/>
      <c r="AC115" s="84"/>
      <c r="AD115" s="88" t="s">
        <v>1874</v>
      </c>
      <c r="AE115" s="86">
        <v>1</v>
      </c>
      <c r="AF115" s="87" t="str">
        <f>REPLACE(INDEX(GroupVertices[Group],MATCH(Edges[[#This Row],[Vertex 1]],GroupVertices[Vertex],0)),1,1,"")</f>
        <v>17</v>
      </c>
      <c r="AG115" s="87" t="str">
        <f>REPLACE(INDEX(GroupVertices[Group],MATCH(Edges[[#This Row],[Vertex 2]],GroupVertices[Vertex],0)),1,1,"")</f>
        <v>17</v>
      </c>
      <c r="AH115" s="105"/>
      <c r="AI115" s="105"/>
      <c r="AJ115" s="105"/>
      <c r="AK115" s="105"/>
      <c r="AL115" s="105"/>
      <c r="AM115" s="105"/>
      <c r="AN115" s="105"/>
      <c r="AO115" s="105"/>
      <c r="AP115" s="105"/>
    </row>
    <row r="116" spans="1:42" ht="15">
      <c r="A116" s="61" t="s">
        <v>329</v>
      </c>
      <c r="B116" s="61" t="s">
        <v>634</v>
      </c>
      <c r="C116" s="62" t="s">
        <v>2891</v>
      </c>
      <c r="D116" s="63">
        <v>5</v>
      </c>
      <c r="E116" s="62"/>
      <c r="F116" s="65">
        <v>25</v>
      </c>
      <c r="G116" s="62"/>
      <c r="H116" s="66"/>
      <c r="I116" s="67"/>
      <c r="J116" s="67"/>
      <c r="K116" s="31" t="s">
        <v>65</v>
      </c>
      <c r="L116" s="68">
        <v>116</v>
      </c>
      <c r="M116" s="68"/>
      <c r="N116" s="69"/>
      <c r="O116" s="84" t="s">
        <v>653</v>
      </c>
      <c r="P116" s="84" t="s">
        <v>215</v>
      </c>
      <c r="Q116" s="88" t="s">
        <v>767</v>
      </c>
      <c r="R116" s="84" t="s">
        <v>329</v>
      </c>
      <c r="S116" s="84" t="s">
        <v>1167</v>
      </c>
      <c r="T116" s="90" t="str">
        <f>HYPERLINK("http://www.youtube.com/channel/UCUnSTNtMoVuB-870zPeM-Gg")</f>
        <v>http://www.youtube.com/channel/UCUnSTNtMoVuB-870zPeM-Gg</v>
      </c>
      <c r="U116" s="84"/>
      <c r="V116" s="84" t="s">
        <v>1471</v>
      </c>
      <c r="W116" s="90" t="str">
        <f>HYPERLINK("https://www.youtube.com/watch?v=M3-wxNqzNcE")</f>
        <v>https://www.youtube.com/watch?v=M3-wxNqzNcE</v>
      </c>
      <c r="X116" s="84" t="s">
        <v>1537</v>
      </c>
      <c r="Y116" s="84">
        <v>0</v>
      </c>
      <c r="Z116" s="84" t="s">
        <v>1599</v>
      </c>
      <c r="AA116" s="84" t="s">
        <v>1599</v>
      </c>
      <c r="AB116" s="84"/>
      <c r="AC116" s="84"/>
      <c r="AD116" s="88" t="s">
        <v>1874</v>
      </c>
      <c r="AE116" s="86">
        <v>1</v>
      </c>
      <c r="AF116" s="87" t="str">
        <f>REPLACE(INDEX(GroupVertices[Group],MATCH(Edges[[#This Row],[Vertex 1]],GroupVertices[Vertex],0)),1,1,"")</f>
        <v>21</v>
      </c>
      <c r="AG116" s="87" t="str">
        <f>REPLACE(INDEX(GroupVertices[Group],MATCH(Edges[[#This Row],[Vertex 2]],GroupVertices[Vertex],0)),1,1,"")</f>
        <v>21</v>
      </c>
      <c r="AH116" s="105"/>
      <c r="AI116" s="105"/>
      <c r="AJ116" s="105"/>
      <c r="AK116" s="105"/>
      <c r="AL116" s="105"/>
      <c r="AM116" s="105"/>
      <c r="AN116" s="105"/>
      <c r="AO116" s="105"/>
      <c r="AP116" s="105"/>
    </row>
    <row r="117" spans="1:42" ht="15">
      <c r="A117" s="61" t="s">
        <v>330</v>
      </c>
      <c r="B117" s="61" t="s">
        <v>638</v>
      </c>
      <c r="C117" s="62" t="s">
        <v>2891</v>
      </c>
      <c r="D117" s="63">
        <v>5</v>
      </c>
      <c r="E117" s="62"/>
      <c r="F117" s="65">
        <v>25</v>
      </c>
      <c r="G117" s="62"/>
      <c r="H117" s="66"/>
      <c r="I117" s="67"/>
      <c r="J117" s="67"/>
      <c r="K117" s="31" t="s">
        <v>65</v>
      </c>
      <c r="L117" s="68">
        <v>117</v>
      </c>
      <c r="M117" s="68"/>
      <c r="N117" s="69"/>
      <c r="O117" s="84" t="s">
        <v>653</v>
      </c>
      <c r="P117" s="84" t="s">
        <v>215</v>
      </c>
      <c r="Q117" s="88" t="s">
        <v>768</v>
      </c>
      <c r="R117" s="84" t="s">
        <v>330</v>
      </c>
      <c r="S117" s="84" t="s">
        <v>1168</v>
      </c>
      <c r="T117" s="90" t="str">
        <f>HYPERLINK("http://www.youtube.com/channel/UCQtnLw3C-0E5goSfg3f3mRQ")</f>
        <v>http://www.youtube.com/channel/UCQtnLw3C-0E5goSfg3f3mRQ</v>
      </c>
      <c r="U117" s="84"/>
      <c r="V117" s="84" t="s">
        <v>1472</v>
      </c>
      <c r="W117" s="90" t="str">
        <f>HYPERLINK("https://www.youtube.com/watch?v=fCFjQcgqiRU")</f>
        <v>https://www.youtube.com/watch?v=fCFjQcgqiRU</v>
      </c>
      <c r="X117" s="84" t="s">
        <v>1537</v>
      </c>
      <c r="Y117" s="84">
        <v>3</v>
      </c>
      <c r="Z117" s="93">
        <v>44812.92136574074</v>
      </c>
      <c r="AA117" s="93">
        <v>44812.92136574074</v>
      </c>
      <c r="AB117" s="84"/>
      <c r="AC117" s="84"/>
      <c r="AD117" s="88" t="s">
        <v>1874</v>
      </c>
      <c r="AE117" s="86">
        <v>1</v>
      </c>
      <c r="AF117" s="87" t="str">
        <f>REPLACE(INDEX(GroupVertices[Group],MATCH(Edges[[#This Row],[Vertex 1]],GroupVertices[Vertex],0)),1,1,"")</f>
        <v>11</v>
      </c>
      <c r="AG117" s="87" t="str">
        <f>REPLACE(INDEX(GroupVertices[Group],MATCH(Edges[[#This Row],[Vertex 2]],GroupVertices[Vertex],0)),1,1,"")</f>
        <v>11</v>
      </c>
      <c r="AH117" s="105"/>
      <c r="AI117" s="105"/>
      <c r="AJ117" s="105"/>
      <c r="AK117" s="105"/>
      <c r="AL117" s="105"/>
      <c r="AM117" s="105"/>
      <c r="AN117" s="105"/>
      <c r="AO117" s="105"/>
      <c r="AP117" s="105"/>
    </row>
    <row r="118" spans="1:42" ht="15">
      <c r="A118" s="61" t="s">
        <v>331</v>
      </c>
      <c r="B118" s="61" t="s">
        <v>638</v>
      </c>
      <c r="C118" s="62" t="s">
        <v>2891</v>
      </c>
      <c r="D118" s="63">
        <v>5</v>
      </c>
      <c r="E118" s="62"/>
      <c r="F118" s="65">
        <v>25</v>
      </c>
      <c r="G118" s="62"/>
      <c r="H118" s="66"/>
      <c r="I118" s="67"/>
      <c r="J118" s="67"/>
      <c r="K118" s="31" t="s">
        <v>65</v>
      </c>
      <c r="L118" s="68">
        <v>118</v>
      </c>
      <c r="M118" s="68"/>
      <c r="N118" s="69"/>
      <c r="O118" s="84" t="s">
        <v>653</v>
      </c>
      <c r="P118" s="84" t="s">
        <v>215</v>
      </c>
      <c r="Q118" s="88" t="s">
        <v>769</v>
      </c>
      <c r="R118" s="84" t="s">
        <v>331</v>
      </c>
      <c r="S118" s="84" t="s">
        <v>1169</v>
      </c>
      <c r="T118" s="90" t="str">
        <f>HYPERLINK("http://www.youtube.com/channel/UCZO94MPPG9gbwh5a96W11RQ")</f>
        <v>http://www.youtube.com/channel/UCZO94MPPG9gbwh5a96W11RQ</v>
      </c>
      <c r="U118" s="84"/>
      <c r="V118" s="84" t="s">
        <v>1472</v>
      </c>
      <c r="W118" s="90" t="str">
        <f>HYPERLINK("https://www.youtube.com/watch?v=fCFjQcgqiRU")</f>
        <v>https://www.youtube.com/watch?v=fCFjQcgqiRU</v>
      </c>
      <c r="X118" s="84" t="s">
        <v>1537</v>
      </c>
      <c r="Y118" s="84">
        <v>0</v>
      </c>
      <c r="Z118" s="93">
        <v>44873.06061342593</v>
      </c>
      <c r="AA118" s="93">
        <v>44873.06061342593</v>
      </c>
      <c r="AB118" s="84"/>
      <c r="AC118" s="84"/>
      <c r="AD118" s="88" t="s">
        <v>1874</v>
      </c>
      <c r="AE118" s="86">
        <v>1</v>
      </c>
      <c r="AF118" s="87" t="str">
        <f>REPLACE(INDEX(GroupVertices[Group],MATCH(Edges[[#This Row],[Vertex 1]],GroupVertices[Vertex],0)),1,1,"")</f>
        <v>11</v>
      </c>
      <c r="AG118" s="87" t="str">
        <f>REPLACE(INDEX(GroupVertices[Group],MATCH(Edges[[#This Row],[Vertex 2]],GroupVertices[Vertex],0)),1,1,"")</f>
        <v>11</v>
      </c>
      <c r="AH118" s="105"/>
      <c r="AI118" s="105"/>
      <c r="AJ118" s="105"/>
      <c r="AK118" s="105"/>
      <c r="AL118" s="105"/>
      <c r="AM118" s="105"/>
      <c r="AN118" s="105"/>
      <c r="AO118" s="105"/>
      <c r="AP118" s="105"/>
    </row>
    <row r="119" spans="1:42" ht="15">
      <c r="A119" s="61" t="s">
        <v>332</v>
      </c>
      <c r="B119" s="61" t="s">
        <v>638</v>
      </c>
      <c r="C119" s="62" t="s">
        <v>2891</v>
      </c>
      <c r="D119" s="63">
        <v>5</v>
      </c>
      <c r="E119" s="62"/>
      <c r="F119" s="65">
        <v>25</v>
      </c>
      <c r="G119" s="62"/>
      <c r="H119" s="66"/>
      <c r="I119" s="67"/>
      <c r="J119" s="67"/>
      <c r="K119" s="31" t="s">
        <v>65</v>
      </c>
      <c r="L119" s="68">
        <v>119</v>
      </c>
      <c r="M119" s="68"/>
      <c r="N119" s="69"/>
      <c r="O119" s="84" t="s">
        <v>653</v>
      </c>
      <c r="P119" s="84" t="s">
        <v>215</v>
      </c>
      <c r="Q119" s="88" t="s">
        <v>770</v>
      </c>
      <c r="R119" s="84" t="s">
        <v>332</v>
      </c>
      <c r="S119" s="84" t="s">
        <v>1170</v>
      </c>
      <c r="T119" s="90" t="str">
        <f>HYPERLINK("http://www.youtube.com/channel/UCvzFttdOsBMBgmqLG_hWx1g")</f>
        <v>http://www.youtube.com/channel/UCvzFttdOsBMBgmqLG_hWx1g</v>
      </c>
      <c r="U119" s="84"/>
      <c r="V119" s="84" t="s">
        <v>1472</v>
      </c>
      <c r="W119" s="90" t="str">
        <f>HYPERLINK("https://www.youtube.com/watch?v=fCFjQcgqiRU")</f>
        <v>https://www.youtube.com/watch?v=fCFjQcgqiRU</v>
      </c>
      <c r="X119" s="84" t="s">
        <v>1537</v>
      </c>
      <c r="Y119" s="84">
        <v>0</v>
      </c>
      <c r="Z119" s="93">
        <v>44873.06940972222</v>
      </c>
      <c r="AA119" s="93">
        <v>44873.06940972222</v>
      </c>
      <c r="AB119" s="84"/>
      <c r="AC119" s="84"/>
      <c r="AD119" s="88" t="s">
        <v>1874</v>
      </c>
      <c r="AE119" s="86">
        <v>1</v>
      </c>
      <c r="AF119" s="87" t="str">
        <f>REPLACE(INDEX(GroupVertices[Group],MATCH(Edges[[#This Row],[Vertex 1]],GroupVertices[Vertex],0)),1,1,"")</f>
        <v>11</v>
      </c>
      <c r="AG119" s="87" t="str">
        <f>REPLACE(INDEX(GroupVertices[Group],MATCH(Edges[[#This Row],[Vertex 2]],GroupVertices[Vertex],0)),1,1,"")</f>
        <v>11</v>
      </c>
      <c r="AH119" s="105"/>
      <c r="AI119" s="105"/>
      <c r="AJ119" s="105"/>
      <c r="AK119" s="105"/>
      <c r="AL119" s="105"/>
      <c r="AM119" s="105"/>
      <c r="AN119" s="105"/>
      <c r="AO119" s="105"/>
      <c r="AP119" s="105"/>
    </row>
    <row r="120" spans="1:42" ht="15">
      <c r="A120" s="61" t="s">
        <v>333</v>
      </c>
      <c r="B120" s="61" t="s">
        <v>638</v>
      </c>
      <c r="C120" s="62" t="s">
        <v>2891</v>
      </c>
      <c r="D120" s="63">
        <v>5</v>
      </c>
      <c r="E120" s="62"/>
      <c r="F120" s="65">
        <v>25</v>
      </c>
      <c r="G120" s="62"/>
      <c r="H120" s="66"/>
      <c r="I120" s="67"/>
      <c r="J120" s="67"/>
      <c r="K120" s="31" t="s">
        <v>65</v>
      </c>
      <c r="L120" s="68">
        <v>120</v>
      </c>
      <c r="M120" s="68"/>
      <c r="N120" s="69"/>
      <c r="O120" s="84" t="s">
        <v>653</v>
      </c>
      <c r="P120" s="84" t="s">
        <v>215</v>
      </c>
      <c r="Q120" s="88" t="s">
        <v>771</v>
      </c>
      <c r="R120" s="84" t="s">
        <v>333</v>
      </c>
      <c r="S120" s="84" t="s">
        <v>1171</v>
      </c>
      <c r="T120" s="90" t="str">
        <f>HYPERLINK("http://www.youtube.com/channel/UC9_LBTcU2WReH0oYTSIBSag")</f>
        <v>http://www.youtube.com/channel/UC9_LBTcU2WReH0oYTSIBSag</v>
      </c>
      <c r="U120" s="84"/>
      <c r="V120" s="84" t="s">
        <v>1472</v>
      </c>
      <c r="W120" s="90" t="str">
        <f>HYPERLINK("https://www.youtube.com/watch?v=fCFjQcgqiRU")</f>
        <v>https://www.youtube.com/watch?v=fCFjQcgqiRU</v>
      </c>
      <c r="X120" s="84" t="s">
        <v>1537</v>
      </c>
      <c r="Y120" s="84">
        <v>1</v>
      </c>
      <c r="Z120" s="93">
        <v>44873.18877314815</v>
      </c>
      <c r="AA120" s="93">
        <v>44873.18877314815</v>
      </c>
      <c r="AB120" s="84"/>
      <c r="AC120" s="84"/>
      <c r="AD120" s="88" t="s">
        <v>1874</v>
      </c>
      <c r="AE120" s="86">
        <v>1</v>
      </c>
      <c r="AF120" s="87" t="str">
        <f>REPLACE(INDEX(GroupVertices[Group],MATCH(Edges[[#This Row],[Vertex 1]],GroupVertices[Vertex],0)),1,1,"")</f>
        <v>11</v>
      </c>
      <c r="AG120" s="87" t="str">
        <f>REPLACE(INDEX(GroupVertices[Group],MATCH(Edges[[#This Row],[Vertex 2]],GroupVertices[Vertex],0)),1,1,"")</f>
        <v>11</v>
      </c>
      <c r="AH120" s="105"/>
      <c r="AI120" s="105"/>
      <c r="AJ120" s="105"/>
      <c r="AK120" s="105"/>
      <c r="AL120" s="105"/>
      <c r="AM120" s="105"/>
      <c r="AN120" s="105"/>
      <c r="AO120" s="105"/>
      <c r="AP120" s="105"/>
    </row>
    <row r="121" spans="1:42" ht="15">
      <c r="A121" s="61" t="s">
        <v>334</v>
      </c>
      <c r="B121" s="61" t="s">
        <v>638</v>
      </c>
      <c r="C121" s="62" t="s">
        <v>2891</v>
      </c>
      <c r="D121" s="63">
        <v>5</v>
      </c>
      <c r="E121" s="62"/>
      <c r="F121" s="65">
        <v>25</v>
      </c>
      <c r="G121" s="62"/>
      <c r="H121" s="66"/>
      <c r="I121" s="67"/>
      <c r="J121" s="67"/>
      <c r="K121" s="31" t="s">
        <v>65</v>
      </c>
      <c r="L121" s="68">
        <v>121</v>
      </c>
      <c r="M121" s="68"/>
      <c r="N121" s="69"/>
      <c r="O121" s="84" t="s">
        <v>653</v>
      </c>
      <c r="P121" s="84" t="s">
        <v>215</v>
      </c>
      <c r="Q121" s="88" t="s">
        <v>772</v>
      </c>
      <c r="R121" s="84" t="s">
        <v>334</v>
      </c>
      <c r="S121" s="84" t="s">
        <v>1172</v>
      </c>
      <c r="T121" s="90" t="str">
        <f>HYPERLINK("http://www.youtube.com/channel/UCc5sSVJ3ob6HDvZ_rbwutHQ")</f>
        <v>http://www.youtube.com/channel/UCc5sSVJ3ob6HDvZ_rbwutHQ</v>
      </c>
      <c r="U121" s="84"/>
      <c r="V121" s="84" t="s">
        <v>1472</v>
      </c>
      <c r="W121" s="90" t="str">
        <f>HYPERLINK("https://www.youtube.com/watch?v=fCFjQcgqiRU")</f>
        <v>https://www.youtube.com/watch?v=fCFjQcgqiRU</v>
      </c>
      <c r="X121" s="84" t="s">
        <v>1537</v>
      </c>
      <c r="Y121" s="84">
        <v>0</v>
      </c>
      <c r="Z121" s="84" t="s">
        <v>1600</v>
      </c>
      <c r="AA121" s="84" t="s">
        <v>1600</v>
      </c>
      <c r="AB121" s="84" t="s">
        <v>1858</v>
      </c>
      <c r="AC121" s="84" t="s">
        <v>1872</v>
      </c>
      <c r="AD121" s="88" t="s">
        <v>1874</v>
      </c>
      <c r="AE121" s="86">
        <v>1</v>
      </c>
      <c r="AF121" s="87" t="str">
        <f>REPLACE(INDEX(GroupVertices[Group],MATCH(Edges[[#This Row],[Vertex 1]],GroupVertices[Vertex],0)),1,1,"")</f>
        <v>11</v>
      </c>
      <c r="AG121" s="87" t="str">
        <f>REPLACE(INDEX(GroupVertices[Group],MATCH(Edges[[#This Row],[Vertex 2]],GroupVertices[Vertex],0)),1,1,"")</f>
        <v>11</v>
      </c>
      <c r="AH121" s="105"/>
      <c r="AI121" s="105"/>
      <c r="AJ121" s="105"/>
      <c r="AK121" s="105"/>
      <c r="AL121" s="105"/>
      <c r="AM121" s="105"/>
      <c r="AN121" s="105"/>
      <c r="AO121" s="105"/>
      <c r="AP121" s="105"/>
    </row>
    <row r="122" spans="1:42" ht="15">
      <c r="A122" s="61" t="s">
        <v>335</v>
      </c>
      <c r="B122" s="61" t="s">
        <v>638</v>
      </c>
      <c r="C122" s="62" t="s">
        <v>2891</v>
      </c>
      <c r="D122" s="63">
        <v>5</v>
      </c>
      <c r="E122" s="62"/>
      <c r="F122" s="65">
        <v>25</v>
      </c>
      <c r="G122" s="62"/>
      <c r="H122" s="66"/>
      <c r="I122" s="67"/>
      <c r="J122" s="67"/>
      <c r="K122" s="31" t="s">
        <v>65</v>
      </c>
      <c r="L122" s="68">
        <v>122</v>
      </c>
      <c r="M122" s="68"/>
      <c r="N122" s="69"/>
      <c r="O122" s="84" t="s">
        <v>653</v>
      </c>
      <c r="P122" s="84" t="s">
        <v>215</v>
      </c>
      <c r="Q122" s="88" t="s">
        <v>773</v>
      </c>
      <c r="R122" s="84" t="s">
        <v>335</v>
      </c>
      <c r="S122" s="84" t="s">
        <v>1173</v>
      </c>
      <c r="T122" s="90" t="str">
        <f>HYPERLINK("http://www.youtube.com/channel/UCj_SCJYU_n4KNHdO2LCalaw")</f>
        <v>http://www.youtube.com/channel/UCj_SCJYU_n4KNHdO2LCalaw</v>
      </c>
      <c r="U122" s="84"/>
      <c r="V122" s="84" t="s">
        <v>1472</v>
      </c>
      <c r="W122" s="90" t="str">
        <f>HYPERLINK("https://www.youtube.com/watch?v=fCFjQcgqiRU")</f>
        <v>https://www.youtube.com/watch?v=fCFjQcgqiRU</v>
      </c>
      <c r="X122" s="84" t="s">
        <v>1537</v>
      </c>
      <c r="Y122" s="84">
        <v>2</v>
      </c>
      <c r="Z122" s="84" t="s">
        <v>1601</v>
      </c>
      <c r="AA122" s="84" t="s">
        <v>1601</v>
      </c>
      <c r="AB122" s="84"/>
      <c r="AC122" s="84"/>
      <c r="AD122" s="88" t="s">
        <v>1874</v>
      </c>
      <c r="AE122" s="86">
        <v>1</v>
      </c>
      <c r="AF122" s="87" t="str">
        <f>REPLACE(INDEX(GroupVertices[Group],MATCH(Edges[[#This Row],[Vertex 1]],GroupVertices[Vertex],0)),1,1,"")</f>
        <v>11</v>
      </c>
      <c r="AG122" s="87" t="str">
        <f>REPLACE(INDEX(GroupVertices[Group],MATCH(Edges[[#This Row],[Vertex 2]],GroupVertices[Vertex],0)),1,1,"")</f>
        <v>11</v>
      </c>
      <c r="AH122" s="105"/>
      <c r="AI122" s="105"/>
      <c r="AJ122" s="105"/>
      <c r="AK122" s="105"/>
      <c r="AL122" s="105"/>
      <c r="AM122" s="105"/>
      <c r="AN122" s="105"/>
      <c r="AO122" s="105"/>
      <c r="AP122" s="105"/>
    </row>
    <row r="123" spans="1:42" ht="15">
      <c r="A123" s="61" t="s">
        <v>336</v>
      </c>
      <c r="B123" s="61" t="s">
        <v>639</v>
      </c>
      <c r="C123" s="62" t="s">
        <v>2891</v>
      </c>
      <c r="D123" s="63">
        <v>5</v>
      </c>
      <c r="E123" s="62"/>
      <c r="F123" s="65">
        <v>25</v>
      </c>
      <c r="G123" s="62"/>
      <c r="H123" s="66"/>
      <c r="I123" s="67"/>
      <c r="J123" s="67"/>
      <c r="K123" s="31" t="s">
        <v>65</v>
      </c>
      <c r="L123" s="68">
        <v>123</v>
      </c>
      <c r="M123" s="68"/>
      <c r="N123" s="69"/>
      <c r="O123" s="84" t="s">
        <v>653</v>
      </c>
      <c r="P123" s="84" t="s">
        <v>215</v>
      </c>
      <c r="Q123" s="88" t="s">
        <v>774</v>
      </c>
      <c r="R123" s="84" t="s">
        <v>336</v>
      </c>
      <c r="S123" s="84" t="s">
        <v>1174</v>
      </c>
      <c r="T123" s="90" t="str">
        <f>HYPERLINK("http://www.youtube.com/channel/UCJKyUE6bvL2CQcbRGOUDCTQ")</f>
        <v>http://www.youtube.com/channel/UCJKyUE6bvL2CQcbRGOUDCTQ</v>
      </c>
      <c r="U123" s="84"/>
      <c r="V123" s="84" t="s">
        <v>1473</v>
      </c>
      <c r="W123" s="90" t="str">
        <f>HYPERLINK("https://www.youtube.com/watch?v=24GjPEXurh8")</f>
        <v>https://www.youtube.com/watch?v=24GjPEXurh8</v>
      </c>
      <c r="X123" s="84" t="s">
        <v>1537</v>
      </c>
      <c r="Y123" s="84">
        <v>2</v>
      </c>
      <c r="Z123" s="84" t="s">
        <v>1602</v>
      </c>
      <c r="AA123" s="84" t="s">
        <v>1843</v>
      </c>
      <c r="AB123" s="84"/>
      <c r="AC123" s="84"/>
      <c r="AD123" s="88" t="s">
        <v>1874</v>
      </c>
      <c r="AE123" s="86">
        <v>1</v>
      </c>
      <c r="AF123" s="87" t="str">
        <f>REPLACE(INDEX(GroupVertices[Group],MATCH(Edges[[#This Row],[Vertex 1]],GroupVertices[Vertex],0)),1,1,"")</f>
        <v>12</v>
      </c>
      <c r="AG123" s="87" t="str">
        <f>REPLACE(INDEX(GroupVertices[Group],MATCH(Edges[[#This Row],[Vertex 2]],GroupVertices[Vertex],0)),1,1,"")</f>
        <v>12</v>
      </c>
      <c r="AH123" s="105"/>
      <c r="AI123" s="105"/>
      <c r="AJ123" s="105"/>
      <c r="AK123" s="105"/>
      <c r="AL123" s="105"/>
      <c r="AM123" s="105"/>
      <c r="AN123" s="105"/>
      <c r="AO123" s="105"/>
      <c r="AP123" s="105"/>
    </row>
    <row r="124" spans="1:42" ht="15">
      <c r="A124" s="61" t="s">
        <v>337</v>
      </c>
      <c r="B124" s="61" t="s">
        <v>639</v>
      </c>
      <c r="C124" s="62" t="s">
        <v>2891</v>
      </c>
      <c r="D124" s="63">
        <v>5</v>
      </c>
      <c r="E124" s="62"/>
      <c r="F124" s="65">
        <v>25</v>
      </c>
      <c r="G124" s="62"/>
      <c r="H124" s="66"/>
      <c r="I124" s="67"/>
      <c r="J124" s="67"/>
      <c r="K124" s="31" t="s">
        <v>65</v>
      </c>
      <c r="L124" s="68">
        <v>124</v>
      </c>
      <c r="M124" s="68"/>
      <c r="N124" s="69"/>
      <c r="O124" s="84" t="s">
        <v>653</v>
      </c>
      <c r="P124" s="84" t="s">
        <v>215</v>
      </c>
      <c r="Q124" s="88" t="s">
        <v>775</v>
      </c>
      <c r="R124" s="84" t="s">
        <v>337</v>
      </c>
      <c r="S124" s="84" t="s">
        <v>1175</v>
      </c>
      <c r="T124" s="90" t="str">
        <f>HYPERLINK("http://www.youtube.com/channel/UCUDTCHsE7qwTvgknRAsQoyA")</f>
        <v>http://www.youtube.com/channel/UCUDTCHsE7qwTvgknRAsQoyA</v>
      </c>
      <c r="U124" s="84"/>
      <c r="V124" s="84" t="s">
        <v>1473</v>
      </c>
      <c r="W124" s="90" t="str">
        <f>HYPERLINK("https://www.youtube.com/watch?v=24GjPEXurh8")</f>
        <v>https://www.youtube.com/watch?v=24GjPEXurh8</v>
      </c>
      <c r="X124" s="84" t="s">
        <v>1537</v>
      </c>
      <c r="Y124" s="84">
        <v>1</v>
      </c>
      <c r="Z124" s="84" t="s">
        <v>1603</v>
      </c>
      <c r="AA124" s="84" t="s">
        <v>1603</v>
      </c>
      <c r="AB124" s="84"/>
      <c r="AC124" s="84"/>
      <c r="AD124" s="88" t="s">
        <v>1874</v>
      </c>
      <c r="AE124" s="86">
        <v>1</v>
      </c>
      <c r="AF124" s="87" t="str">
        <f>REPLACE(INDEX(GroupVertices[Group],MATCH(Edges[[#This Row],[Vertex 1]],GroupVertices[Vertex],0)),1,1,"")</f>
        <v>12</v>
      </c>
      <c r="AG124" s="87" t="str">
        <f>REPLACE(INDEX(GroupVertices[Group],MATCH(Edges[[#This Row],[Vertex 2]],GroupVertices[Vertex],0)),1,1,"")</f>
        <v>12</v>
      </c>
      <c r="AH124" s="105"/>
      <c r="AI124" s="105"/>
      <c r="AJ124" s="105"/>
      <c r="AK124" s="105"/>
      <c r="AL124" s="105"/>
      <c r="AM124" s="105"/>
      <c r="AN124" s="105"/>
      <c r="AO124" s="105"/>
      <c r="AP124" s="105"/>
    </row>
    <row r="125" spans="1:42" ht="15">
      <c r="A125" s="61" t="s">
        <v>338</v>
      </c>
      <c r="B125" s="61" t="s">
        <v>639</v>
      </c>
      <c r="C125" s="62" t="s">
        <v>2891</v>
      </c>
      <c r="D125" s="63">
        <v>5</v>
      </c>
      <c r="E125" s="62"/>
      <c r="F125" s="65">
        <v>25</v>
      </c>
      <c r="G125" s="62"/>
      <c r="H125" s="66"/>
      <c r="I125" s="67"/>
      <c r="J125" s="67"/>
      <c r="K125" s="31" t="s">
        <v>65</v>
      </c>
      <c r="L125" s="68">
        <v>125</v>
      </c>
      <c r="M125" s="68"/>
      <c r="N125" s="69"/>
      <c r="O125" s="84" t="s">
        <v>653</v>
      </c>
      <c r="P125" s="84" t="s">
        <v>215</v>
      </c>
      <c r="Q125" s="88" t="s">
        <v>776</v>
      </c>
      <c r="R125" s="84" t="s">
        <v>338</v>
      </c>
      <c r="S125" s="84" t="s">
        <v>1176</v>
      </c>
      <c r="T125" s="90" t="str">
        <f>HYPERLINK("http://www.youtube.com/channel/UCqrgzoNe8YdlyQTSatFkIMg")</f>
        <v>http://www.youtube.com/channel/UCqrgzoNe8YdlyQTSatFkIMg</v>
      </c>
      <c r="U125" s="84"/>
      <c r="V125" s="84" t="s">
        <v>1473</v>
      </c>
      <c r="W125" s="90" t="str">
        <f>HYPERLINK("https://www.youtube.com/watch?v=24GjPEXurh8")</f>
        <v>https://www.youtube.com/watch?v=24GjPEXurh8</v>
      </c>
      <c r="X125" s="84" t="s">
        <v>1537</v>
      </c>
      <c r="Y125" s="84">
        <v>1</v>
      </c>
      <c r="Z125" s="84" t="s">
        <v>1604</v>
      </c>
      <c r="AA125" s="84" t="s">
        <v>1604</v>
      </c>
      <c r="AB125" s="84"/>
      <c r="AC125" s="84"/>
      <c r="AD125" s="88" t="s">
        <v>1874</v>
      </c>
      <c r="AE125" s="86">
        <v>1</v>
      </c>
      <c r="AF125" s="87" t="str">
        <f>REPLACE(INDEX(GroupVertices[Group],MATCH(Edges[[#This Row],[Vertex 1]],GroupVertices[Vertex],0)),1,1,"")</f>
        <v>12</v>
      </c>
      <c r="AG125" s="87" t="str">
        <f>REPLACE(INDEX(GroupVertices[Group],MATCH(Edges[[#This Row],[Vertex 2]],GroupVertices[Vertex],0)),1,1,"")</f>
        <v>12</v>
      </c>
      <c r="AH125" s="105"/>
      <c r="AI125" s="105"/>
      <c r="AJ125" s="105"/>
      <c r="AK125" s="105"/>
      <c r="AL125" s="105"/>
      <c r="AM125" s="105"/>
      <c r="AN125" s="105"/>
      <c r="AO125" s="105"/>
      <c r="AP125" s="105"/>
    </row>
    <row r="126" spans="1:42" ht="15">
      <c r="A126" s="61" t="s">
        <v>339</v>
      </c>
      <c r="B126" s="61" t="s">
        <v>639</v>
      </c>
      <c r="C126" s="62" t="s">
        <v>2891</v>
      </c>
      <c r="D126" s="63">
        <v>5</v>
      </c>
      <c r="E126" s="62"/>
      <c r="F126" s="65">
        <v>25</v>
      </c>
      <c r="G126" s="62"/>
      <c r="H126" s="66"/>
      <c r="I126" s="67"/>
      <c r="J126" s="67"/>
      <c r="K126" s="31" t="s">
        <v>65</v>
      </c>
      <c r="L126" s="68">
        <v>126</v>
      </c>
      <c r="M126" s="68"/>
      <c r="N126" s="69"/>
      <c r="O126" s="84" t="s">
        <v>653</v>
      </c>
      <c r="P126" s="84" t="s">
        <v>215</v>
      </c>
      <c r="Q126" s="88" t="s">
        <v>777</v>
      </c>
      <c r="R126" s="84" t="s">
        <v>339</v>
      </c>
      <c r="S126" s="84" t="s">
        <v>1177</v>
      </c>
      <c r="T126" s="90" t="str">
        <f>HYPERLINK("http://www.youtube.com/channel/UCXxmP0ak59EVuBlVSuP1EmQ")</f>
        <v>http://www.youtube.com/channel/UCXxmP0ak59EVuBlVSuP1EmQ</v>
      </c>
      <c r="U126" s="84"/>
      <c r="V126" s="84" t="s">
        <v>1473</v>
      </c>
      <c r="W126" s="90" t="str">
        <f>HYPERLINK("https://www.youtube.com/watch?v=24GjPEXurh8")</f>
        <v>https://www.youtube.com/watch?v=24GjPEXurh8</v>
      </c>
      <c r="X126" s="84" t="s">
        <v>1537</v>
      </c>
      <c r="Y126" s="84">
        <v>1</v>
      </c>
      <c r="Z126" s="84" t="s">
        <v>1605</v>
      </c>
      <c r="AA126" s="84" t="s">
        <v>1605</v>
      </c>
      <c r="AB126" s="84"/>
      <c r="AC126" s="84"/>
      <c r="AD126" s="88" t="s">
        <v>1874</v>
      </c>
      <c r="AE126" s="86">
        <v>1</v>
      </c>
      <c r="AF126" s="87" t="str">
        <f>REPLACE(INDEX(GroupVertices[Group],MATCH(Edges[[#This Row],[Vertex 1]],GroupVertices[Vertex],0)),1,1,"")</f>
        <v>12</v>
      </c>
      <c r="AG126" s="87" t="str">
        <f>REPLACE(INDEX(GroupVertices[Group],MATCH(Edges[[#This Row],[Vertex 2]],GroupVertices[Vertex],0)),1,1,"")</f>
        <v>12</v>
      </c>
      <c r="AH126" s="105"/>
      <c r="AI126" s="105"/>
      <c r="AJ126" s="105"/>
      <c r="AK126" s="105"/>
      <c r="AL126" s="105"/>
      <c r="AM126" s="105"/>
      <c r="AN126" s="105"/>
      <c r="AO126" s="105"/>
      <c r="AP126" s="105"/>
    </row>
    <row r="127" spans="1:42" ht="15">
      <c r="A127" s="61" t="s">
        <v>340</v>
      </c>
      <c r="B127" s="61" t="s">
        <v>638</v>
      </c>
      <c r="C127" s="62" t="s">
        <v>2891</v>
      </c>
      <c r="D127" s="63">
        <v>5</v>
      </c>
      <c r="E127" s="62"/>
      <c r="F127" s="65">
        <v>25</v>
      </c>
      <c r="G127" s="62"/>
      <c r="H127" s="66"/>
      <c r="I127" s="67"/>
      <c r="J127" s="67"/>
      <c r="K127" s="31" t="s">
        <v>65</v>
      </c>
      <c r="L127" s="68">
        <v>127</v>
      </c>
      <c r="M127" s="68"/>
      <c r="N127" s="69"/>
      <c r="O127" s="84" t="s">
        <v>653</v>
      </c>
      <c r="P127" s="84" t="s">
        <v>215</v>
      </c>
      <c r="Q127" s="88" t="s">
        <v>778</v>
      </c>
      <c r="R127" s="84" t="s">
        <v>340</v>
      </c>
      <c r="S127" s="84" t="s">
        <v>1178</v>
      </c>
      <c r="T127" s="90" t="str">
        <f>HYPERLINK("http://www.youtube.com/channel/UC2l0tg_qVj0y20_ZqjikdGw")</f>
        <v>http://www.youtube.com/channel/UC2l0tg_qVj0y20_ZqjikdGw</v>
      </c>
      <c r="U127" s="84"/>
      <c r="V127" s="84" t="s">
        <v>1474</v>
      </c>
      <c r="W127" s="90" t="str">
        <f>HYPERLINK("https://www.youtube.com/watch?v=at2tFKXepb0")</f>
        <v>https://www.youtube.com/watch?v=at2tFKXepb0</v>
      </c>
      <c r="X127" s="84" t="s">
        <v>1537</v>
      </c>
      <c r="Y127" s="84">
        <v>0</v>
      </c>
      <c r="Z127" s="84" t="s">
        <v>1606</v>
      </c>
      <c r="AA127" s="84" t="s">
        <v>1606</v>
      </c>
      <c r="AB127" s="84"/>
      <c r="AC127" s="84"/>
      <c r="AD127" s="88" t="s">
        <v>1874</v>
      </c>
      <c r="AE127" s="86">
        <v>1</v>
      </c>
      <c r="AF127" s="87" t="str">
        <f>REPLACE(INDEX(GroupVertices[Group],MATCH(Edges[[#This Row],[Vertex 1]],GroupVertices[Vertex],0)),1,1,"")</f>
        <v>11</v>
      </c>
      <c r="AG127" s="87" t="str">
        <f>REPLACE(INDEX(GroupVertices[Group],MATCH(Edges[[#This Row],[Vertex 2]],GroupVertices[Vertex],0)),1,1,"")</f>
        <v>11</v>
      </c>
      <c r="AH127" s="105"/>
      <c r="AI127" s="105"/>
      <c r="AJ127" s="105"/>
      <c r="AK127" s="105"/>
      <c r="AL127" s="105"/>
      <c r="AM127" s="105"/>
      <c r="AN127" s="105"/>
      <c r="AO127" s="105"/>
      <c r="AP127" s="105"/>
    </row>
    <row r="128" spans="1:42" ht="15">
      <c r="A128" s="61" t="s">
        <v>341</v>
      </c>
      <c r="B128" s="61" t="s">
        <v>637</v>
      </c>
      <c r="C128" s="62" t="s">
        <v>2891</v>
      </c>
      <c r="D128" s="63">
        <v>5</v>
      </c>
      <c r="E128" s="62"/>
      <c r="F128" s="65">
        <v>25</v>
      </c>
      <c r="G128" s="62"/>
      <c r="H128" s="66"/>
      <c r="I128" s="67"/>
      <c r="J128" s="67"/>
      <c r="K128" s="31" t="s">
        <v>65</v>
      </c>
      <c r="L128" s="68">
        <v>128</v>
      </c>
      <c r="M128" s="68"/>
      <c r="N128" s="69"/>
      <c r="O128" s="84" t="s">
        <v>653</v>
      </c>
      <c r="P128" s="84" t="s">
        <v>215</v>
      </c>
      <c r="Q128" s="88" t="s">
        <v>779</v>
      </c>
      <c r="R128" s="84" t="s">
        <v>341</v>
      </c>
      <c r="S128" s="84" t="s">
        <v>1179</v>
      </c>
      <c r="T128" s="90" t="str">
        <f>HYPERLINK("http://www.youtube.com/channel/UCh9TC41YxpXHKSHfBys_aDA")</f>
        <v>http://www.youtube.com/channel/UCh9TC41YxpXHKSHfBys_aDA</v>
      </c>
      <c r="U128" s="84"/>
      <c r="V128" s="84" t="s">
        <v>1475</v>
      </c>
      <c r="W128" s="90" t="str">
        <f>HYPERLINK("https://www.youtube.com/watch?v=uAUaXfejTF0")</f>
        <v>https://www.youtube.com/watch?v=uAUaXfejTF0</v>
      </c>
      <c r="X128" s="84" t="s">
        <v>1537</v>
      </c>
      <c r="Y128" s="84">
        <v>0</v>
      </c>
      <c r="Z128" s="84" t="s">
        <v>1607</v>
      </c>
      <c r="AA128" s="84" t="s">
        <v>1607</v>
      </c>
      <c r="AB128" s="84"/>
      <c r="AC128" s="84"/>
      <c r="AD128" s="88" t="s">
        <v>1874</v>
      </c>
      <c r="AE128" s="86">
        <v>1</v>
      </c>
      <c r="AF128" s="87" t="str">
        <f>REPLACE(INDEX(GroupVertices[Group],MATCH(Edges[[#This Row],[Vertex 1]],GroupVertices[Vertex],0)),1,1,"")</f>
        <v>10</v>
      </c>
      <c r="AG128" s="87" t="str">
        <f>REPLACE(INDEX(GroupVertices[Group],MATCH(Edges[[#This Row],[Vertex 2]],GroupVertices[Vertex],0)),1,1,"")</f>
        <v>10</v>
      </c>
      <c r="AH128" s="105"/>
      <c r="AI128" s="105"/>
      <c r="AJ128" s="105"/>
      <c r="AK128" s="105"/>
      <c r="AL128" s="105"/>
      <c r="AM128" s="105"/>
      <c r="AN128" s="105"/>
      <c r="AO128" s="105"/>
      <c r="AP128" s="105"/>
    </row>
    <row r="129" spans="1:42" ht="15">
      <c r="A129" s="61" t="s">
        <v>342</v>
      </c>
      <c r="B129" s="61" t="s">
        <v>622</v>
      </c>
      <c r="C129" s="62" t="s">
        <v>2891</v>
      </c>
      <c r="D129" s="63">
        <v>5</v>
      </c>
      <c r="E129" s="62"/>
      <c r="F129" s="65">
        <v>25</v>
      </c>
      <c r="G129" s="62"/>
      <c r="H129" s="66"/>
      <c r="I129" s="67"/>
      <c r="J129" s="67"/>
      <c r="K129" s="31" t="s">
        <v>65</v>
      </c>
      <c r="L129" s="68">
        <v>129</v>
      </c>
      <c r="M129" s="68"/>
      <c r="N129" s="69"/>
      <c r="O129" s="84" t="s">
        <v>653</v>
      </c>
      <c r="P129" s="84" t="s">
        <v>215</v>
      </c>
      <c r="Q129" s="88" t="s">
        <v>780</v>
      </c>
      <c r="R129" s="84" t="s">
        <v>342</v>
      </c>
      <c r="S129" s="84" t="s">
        <v>1180</v>
      </c>
      <c r="T129" s="90" t="str">
        <f>HYPERLINK("http://www.youtube.com/channel/UC_Bmf2zjM0c1R2accRinFtQ")</f>
        <v>http://www.youtube.com/channel/UC_Bmf2zjM0c1R2accRinFtQ</v>
      </c>
      <c r="U129" s="84"/>
      <c r="V129" s="84" t="s">
        <v>1458</v>
      </c>
      <c r="W129" s="90" t="str">
        <f>HYPERLINK("https://www.youtube.com/watch?v=vRHHbTppzg8")</f>
        <v>https://www.youtube.com/watch?v=vRHHbTppzg8</v>
      </c>
      <c r="X129" s="84" t="s">
        <v>1537</v>
      </c>
      <c r="Y129" s="84">
        <v>0</v>
      </c>
      <c r="Z129" s="93">
        <v>43955.68152777778</v>
      </c>
      <c r="AA129" s="93">
        <v>43955.68152777778</v>
      </c>
      <c r="AB129" s="84"/>
      <c r="AC129" s="84"/>
      <c r="AD129" s="88" t="s">
        <v>1874</v>
      </c>
      <c r="AE129" s="86">
        <v>1</v>
      </c>
      <c r="AF129" s="87" t="str">
        <f>REPLACE(INDEX(GroupVertices[Group],MATCH(Edges[[#This Row],[Vertex 1]],GroupVertices[Vertex],0)),1,1,"")</f>
        <v>10</v>
      </c>
      <c r="AG129" s="87" t="str">
        <f>REPLACE(INDEX(GroupVertices[Group],MATCH(Edges[[#This Row],[Vertex 2]],GroupVertices[Vertex],0)),1,1,"")</f>
        <v>10</v>
      </c>
      <c r="AH129" s="105"/>
      <c r="AI129" s="105"/>
      <c r="AJ129" s="105"/>
      <c r="AK129" s="105"/>
      <c r="AL129" s="105"/>
      <c r="AM129" s="105"/>
      <c r="AN129" s="105"/>
      <c r="AO129" s="105"/>
      <c r="AP129" s="105"/>
    </row>
    <row r="130" spans="1:42" ht="15">
      <c r="A130" s="61" t="s">
        <v>342</v>
      </c>
      <c r="B130" s="61" t="s">
        <v>637</v>
      </c>
      <c r="C130" s="62" t="s">
        <v>2891</v>
      </c>
      <c r="D130" s="63">
        <v>5</v>
      </c>
      <c r="E130" s="62"/>
      <c r="F130" s="65">
        <v>25</v>
      </c>
      <c r="G130" s="62"/>
      <c r="H130" s="66"/>
      <c r="I130" s="67"/>
      <c r="J130" s="67"/>
      <c r="K130" s="31" t="s">
        <v>65</v>
      </c>
      <c r="L130" s="68">
        <v>130</v>
      </c>
      <c r="M130" s="68"/>
      <c r="N130" s="69"/>
      <c r="O130" s="84" t="s">
        <v>653</v>
      </c>
      <c r="P130" s="84" t="s">
        <v>215</v>
      </c>
      <c r="Q130" s="88" t="s">
        <v>781</v>
      </c>
      <c r="R130" s="84" t="s">
        <v>342</v>
      </c>
      <c r="S130" s="84" t="s">
        <v>1180</v>
      </c>
      <c r="T130" s="90" t="str">
        <f>HYPERLINK("http://www.youtube.com/channel/UC_Bmf2zjM0c1R2accRinFtQ")</f>
        <v>http://www.youtube.com/channel/UC_Bmf2zjM0c1R2accRinFtQ</v>
      </c>
      <c r="U130" s="84"/>
      <c r="V130" s="84" t="s">
        <v>1475</v>
      </c>
      <c r="W130" s="90" t="str">
        <f>HYPERLINK("https://www.youtube.com/watch?v=uAUaXfejTF0")</f>
        <v>https://www.youtube.com/watch?v=uAUaXfejTF0</v>
      </c>
      <c r="X130" s="84" t="s">
        <v>1537</v>
      </c>
      <c r="Y130" s="84">
        <v>0</v>
      </c>
      <c r="Z130" s="84" t="s">
        <v>1608</v>
      </c>
      <c r="AA130" s="84" t="s">
        <v>1608</v>
      </c>
      <c r="AB130" s="84"/>
      <c r="AC130" s="84"/>
      <c r="AD130" s="88" t="s">
        <v>1874</v>
      </c>
      <c r="AE130" s="86">
        <v>1</v>
      </c>
      <c r="AF130" s="87" t="str">
        <f>REPLACE(INDEX(GroupVertices[Group],MATCH(Edges[[#This Row],[Vertex 1]],GroupVertices[Vertex],0)),1,1,"")</f>
        <v>10</v>
      </c>
      <c r="AG130" s="87" t="str">
        <f>REPLACE(INDEX(GroupVertices[Group],MATCH(Edges[[#This Row],[Vertex 2]],GroupVertices[Vertex],0)),1,1,"")</f>
        <v>10</v>
      </c>
      <c r="AH130" s="105"/>
      <c r="AI130" s="105"/>
      <c r="AJ130" s="105"/>
      <c r="AK130" s="105"/>
      <c r="AL130" s="105"/>
      <c r="AM130" s="105"/>
      <c r="AN130" s="105"/>
      <c r="AO130" s="105"/>
      <c r="AP130" s="105"/>
    </row>
    <row r="131" spans="1:42" ht="15">
      <c r="A131" s="61" t="s">
        <v>343</v>
      </c>
      <c r="B131" s="61" t="s">
        <v>638</v>
      </c>
      <c r="C131" s="62" t="s">
        <v>2891</v>
      </c>
      <c r="D131" s="63">
        <v>5</v>
      </c>
      <c r="E131" s="62"/>
      <c r="F131" s="65">
        <v>25</v>
      </c>
      <c r="G131" s="62"/>
      <c r="H131" s="66"/>
      <c r="I131" s="67"/>
      <c r="J131" s="67"/>
      <c r="K131" s="31" t="s">
        <v>65</v>
      </c>
      <c r="L131" s="68">
        <v>131</v>
      </c>
      <c r="M131" s="68"/>
      <c r="N131" s="69"/>
      <c r="O131" s="84" t="s">
        <v>653</v>
      </c>
      <c r="P131" s="84" t="s">
        <v>215</v>
      </c>
      <c r="Q131" s="88" t="s">
        <v>782</v>
      </c>
      <c r="R131" s="84" t="s">
        <v>343</v>
      </c>
      <c r="S131" s="84" t="s">
        <v>1181</v>
      </c>
      <c r="T131" s="90" t="str">
        <f>HYPERLINK("http://www.youtube.com/channel/UC9RWOfXj3WGymaMynr9mb3Q")</f>
        <v>http://www.youtube.com/channel/UC9RWOfXj3WGymaMynr9mb3Q</v>
      </c>
      <c r="U131" s="84"/>
      <c r="V131" s="84" t="s">
        <v>1476</v>
      </c>
      <c r="W131" s="90" t="str">
        <f>HYPERLINK("https://www.youtube.com/watch?v=S2Q6MbgzyQ0")</f>
        <v>https://www.youtube.com/watch?v=S2Q6MbgzyQ0</v>
      </c>
      <c r="X131" s="84" t="s">
        <v>1537</v>
      </c>
      <c r="Y131" s="84">
        <v>0</v>
      </c>
      <c r="Z131" s="84" t="s">
        <v>1609</v>
      </c>
      <c r="AA131" s="84" t="s">
        <v>1609</v>
      </c>
      <c r="AB131" s="84"/>
      <c r="AC131" s="84"/>
      <c r="AD131" s="88" t="s">
        <v>1874</v>
      </c>
      <c r="AE131" s="86">
        <v>1</v>
      </c>
      <c r="AF131" s="87" t="str">
        <f>REPLACE(INDEX(GroupVertices[Group],MATCH(Edges[[#This Row],[Vertex 1]],GroupVertices[Vertex],0)),1,1,"")</f>
        <v>11</v>
      </c>
      <c r="AG131" s="87" t="str">
        <f>REPLACE(INDEX(GroupVertices[Group],MATCH(Edges[[#This Row],[Vertex 2]],GroupVertices[Vertex],0)),1,1,"")</f>
        <v>11</v>
      </c>
      <c r="AH131" s="105"/>
      <c r="AI131" s="105"/>
      <c r="AJ131" s="105"/>
      <c r="AK131" s="105"/>
      <c r="AL131" s="105"/>
      <c r="AM131" s="105"/>
      <c r="AN131" s="105"/>
      <c r="AO131" s="105"/>
      <c r="AP131" s="105"/>
    </row>
    <row r="132" spans="1:42" ht="15">
      <c r="A132" s="61" t="s">
        <v>344</v>
      </c>
      <c r="B132" s="61" t="s">
        <v>638</v>
      </c>
      <c r="C132" s="62" t="s">
        <v>2891</v>
      </c>
      <c r="D132" s="63">
        <v>5</v>
      </c>
      <c r="E132" s="62"/>
      <c r="F132" s="65">
        <v>25</v>
      </c>
      <c r="G132" s="62"/>
      <c r="H132" s="66"/>
      <c r="I132" s="67"/>
      <c r="J132" s="67"/>
      <c r="K132" s="31" t="s">
        <v>65</v>
      </c>
      <c r="L132" s="68">
        <v>132</v>
      </c>
      <c r="M132" s="68"/>
      <c r="N132" s="69"/>
      <c r="O132" s="84" t="s">
        <v>653</v>
      </c>
      <c r="P132" s="84" t="s">
        <v>215</v>
      </c>
      <c r="Q132" s="88" t="s">
        <v>783</v>
      </c>
      <c r="R132" s="84" t="s">
        <v>344</v>
      </c>
      <c r="S132" s="84" t="s">
        <v>1182</v>
      </c>
      <c r="T132" s="90" t="str">
        <f>HYPERLINK("http://www.youtube.com/channel/UC0mxCsjF8pf3tsiTC6lMdng")</f>
        <v>http://www.youtube.com/channel/UC0mxCsjF8pf3tsiTC6lMdng</v>
      </c>
      <c r="U132" s="84"/>
      <c r="V132" s="84" t="s">
        <v>1476</v>
      </c>
      <c r="W132" s="90" t="str">
        <f>HYPERLINK("https://www.youtube.com/watch?v=S2Q6MbgzyQ0")</f>
        <v>https://www.youtube.com/watch?v=S2Q6MbgzyQ0</v>
      </c>
      <c r="X132" s="84" t="s">
        <v>1537</v>
      </c>
      <c r="Y132" s="84">
        <v>1</v>
      </c>
      <c r="Z132" s="84" t="s">
        <v>1610</v>
      </c>
      <c r="AA132" s="84" t="s">
        <v>1610</v>
      </c>
      <c r="AB132" s="84"/>
      <c r="AC132" s="84"/>
      <c r="AD132" s="88" t="s">
        <v>1874</v>
      </c>
      <c r="AE132" s="86">
        <v>1</v>
      </c>
      <c r="AF132" s="87" t="str">
        <f>REPLACE(INDEX(GroupVertices[Group],MATCH(Edges[[#This Row],[Vertex 1]],GroupVertices[Vertex],0)),1,1,"")</f>
        <v>11</v>
      </c>
      <c r="AG132" s="87" t="str">
        <f>REPLACE(INDEX(GroupVertices[Group],MATCH(Edges[[#This Row],[Vertex 2]],GroupVertices[Vertex],0)),1,1,"")</f>
        <v>11</v>
      </c>
      <c r="AH132" s="105"/>
      <c r="AI132" s="105"/>
      <c r="AJ132" s="105"/>
      <c r="AK132" s="105"/>
      <c r="AL132" s="105"/>
      <c r="AM132" s="105"/>
      <c r="AN132" s="105"/>
      <c r="AO132" s="105"/>
      <c r="AP132" s="105"/>
    </row>
    <row r="133" spans="1:42" ht="15">
      <c r="A133" s="61" t="s">
        <v>345</v>
      </c>
      <c r="B133" s="61" t="s">
        <v>638</v>
      </c>
      <c r="C133" s="62" t="s">
        <v>2891</v>
      </c>
      <c r="D133" s="63">
        <v>5</v>
      </c>
      <c r="E133" s="62"/>
      <c r="F133" s="65">
        <v>25</v>
      </c>
      <c r="G133" s="62"/>
      <c r="H133" s="66"/>
      <c r="I133" s="67"/>
      <c r="J133" s="67"/>
      <c r="K133" s="31" t="s">
        <v>65</v>
      </c>
      <c r="L133" s="68">
        <v>133</v>
      </c>
      <c r="M133" s="68"/>
      <c r="N133" s="69"/>
      <c r="O133" s="84" t="s">
        <v>653</v>
      </c>
      <c r="P133" s="84" t="s">
        <v>215</v>
      </c>
      <c r="Q133" s="88" t="s">
        <v>784</v>
      </c>
      <c r="R133" s="84" t="s">
        <v>345</v>
      </c>
      <c r="S133" s="84" t="s">
        <v>1183</v>
      </c>
      <c r="T133" s="90" t="str">
        <f>HYPERLINK("http://www.youtube.com/channel/UCg3JP4uITyQZBSRFjWKfrEQ")</f>
        <v>http://www.youtube.com/channel/UCg3JP4uITyQZBSRFjWKfrEQ</v>
      </c>
      <c r="U133" s="84"/>
      <c r="V133" s="84" t="s">
        <v>1476</v>
      </c>
      <c r="W133" s="90" t="str">
        <f>HYPERLINK("https://www.youtube.com/watch?v=S2Q6MbgzyQ0")</f>
        <v>https://www.youtube.com/watch?v=S2Q6MbgzyQ0</v>
      </c>
      <c r="X133" s="84" t="s">
        <v>1537</v>
      </c>
      <c r="Y133" s="84">
        <v>0</v>
      </c>
      <c r="Z133" s="84" t="s">
        <v>1611</v>
      </c>
      <c r="AA133" s="84" t="s">
        <v>1611</v>
      </c>
      <c r="AB133" s="84"/>
      <c r="AC133" s="84"/>
      <c r="AD133" s="88" t="s">
        <v>1874</v>
      </c>
      <c r="AE133" s="86">
        <v>1</v>
      </c>
      <c r="AF133" s="87" t="str">
        <f>REPLACE(INDEX(GroupVertices[Group],MATCH(Edges[[#This Row],[Vertex 1]],GroupVertices[Vertex],0)),1,1,"")</f>
        <v>11</v>
      </c>
      <c r="AG133" s="87" t="str">
        <f>REPLACE(INDEX(GroupVertices[Group],MATCH(Edges[[#This Row],[Vertex 2]],GroupVertices[Vertex],0)),1,1,"")</f>
        <v>11</v>
      </c>
      <c r="AH133" s="105"/>
      <c r="AI133" s="105"/>
      <c r="AJ133" s="105"/>
      <c r="AK133" s="105"/>
      <c r="AL133" s="105"/>
      <c r="AM133" s="105"/>
      <c r="AN133" s="105"/>
      <c r="AO133" s="105"/>
      <c r="AP133" s="105"/>
    </row>
    <row r="134" spans="1:42" ht="15">
      <c r="A134" s="61" t="s">
        <v>346</v>
      </c>
      <c r="B134" s="61" t="s">
        <v>638</v>
      </c>
      <c r="C134" s="62" t="s">
        <v>2891</v>
      </c>
      <c r="D134" s="63">
        <v>5</v>
      </c>
      <c r="E134" s="62"/>
      <c r="F134" s="65">
        <v>25</v>
      </c>
      <c r="G134" s="62"/>
      <c r="H134" s="66"/>
      <c r="I134" s="67"/>
      <c r="J134" s="67"/>
      <c r="K134" s="31" t="s">
        <v>65</v>
      </c>
      <c r="L134" s="68">
        <v>134</v>
      </c>
      <c r="M134" s="68"/>
      <c r="N134" s="69"/>
      <c r="O134" s="84" t="s">
        <v>653</v>
      </c>
      <c r="P134" s="84" t="s">
        <v>215</v>
      </c>
      <c r="Q134" s="88" t="s">
        <v>785</v>
      </c>
      <c r="R134" s="84" t="s">
        <v>346</v>
      </c>
      <c r="S134" s="84" t="s">
        <v>1184</v>
      </c>
      <c r="T134" s="90" t="str">
        <f>HYPERLINK("http://www.youtube.com/channel/UCwprw78eegW7SNWD9dVPW0Q")</f>
        <v>http://www.youtube.com/channel/UCwprw78eegW7SNWD9dVPW0Q</v>
      </c>
      <c r="U134" s="84"/>
      <c r="V134" s="84" t="s">
        <v>1476</v>
      </c>
      <c r="W134" s="90" t="str">
        <f>HYPERLINK("https://www.youtube.com/watch?v=S2Q6MbgzyQ0")</f>
        <v>https://www.youtube.com/watch?v=S2Q6MbgzyQ0</v>
      </c>
      <c r="X134" s="84" t="s">
        <v>1537</v>
      </c>
      <c r="Y134" s="84">
        <v>1</v>
      </c>
      <c r="Z134" s="84" t="s">
        <v>1612</v>
      </c>
      <c r="AA134" s="84" t="s">
        <v>1612</v>
      </c>
      <c r="AB134" s="84"/>
      <c r="AC134" s="84"/>
      <c r="AD134" s="88" t="s">
        <v>1874</v>
      </c>
      <c r="AE134" s="86">
        <v>1</v>
      </c>
      <c r="AF134" s="87" t="str">
        <f>REPLACE(INDEX(GroupVertices[Group],MATCH(Edges[[#This Row],[Vertex 1]],GroupVertices[Vertex],0)),1,1,"")</f>
        <v>11</v>
      </c>
      <c r="AG134" s="87" t="str">
        <f>REPLACE(INDEX(GroupVertices[Group],MATCH(Edges[[#This Row],[Vertex 2]],GroupVertices[Vertex],0)),1,1,"")</f>
        <v>11</v>
      </c>
      <c r="AH134" s="105"/>
      <c r="AI134" s="105"/>
      <c r="AJ134" s="105"/>
      <c r="AK134" s="105"/>
      <c r="AL134" s="105"/>
      <c r="AM134" s="105"/>
      <c r="AN134" s="105"/>
      <c r="AO134" s="105"/>
      <c r="AP134" s="105"/>
    </row>
    <row r="135" spans="1:42" ht="15">
      <c r="A135" s="61" t="s">
        <v>347</v>
      </c>
      <c r="B135" s="61" t="s">
        <v>638</v>
      </c>
      <c r="C135" s="62" t="s">
        <v>2891</v>
      </c>
      <c r="D135" s="63">
        <v>5</v>
      </c>
      <c r="E135" s="62"/>
      <c r="F135" s="65">
        <v>25</v>
      </c>
      <c r="G135" s="62"/>
      <c r="H135" s="66"/>
      <c r="I135" s="67"/>
      <c r="J135" s="67"/>
      <c r="K135" s="31" t="s">
        <v>65</v>
      </c>
      <c r="L135" s="68">
        <v>135</v>
      </c>
      <c r="M135" s="68"/>
      <c r="N135" s="69"/>
      <c r="O135" s="84" t="s">
        <v>653</v>
      </c>
      <c r="P135" s="84" t="s">
        <v>215</v>
      </c>
      <c r="Q135" s="88" t="s">
        <v>786</v>
      </c>
      <c r="R135" s="84" t="s">
        <v>347</v>
      </c>
      <c r="S135" s="84" t="s">
        <v>1185</v>
      </c>
      <c r="T135" s="90" t="str">
        <f>HYPERLINK("http://www.youtube.com/channel/UCdhRwatBmjUKAkV_szyimFA")</f>
        <v>http://www.youtube.com/channel/UCdhRwatBmjUKAkV_szyimFA</v>
      </c>
      <c r="U135" s="84"/>
      <c r="V135" s="84" t="s">
        <v>1476</v>
      </c>
      <c r="W135" s="90" t="str">
        <f>HYPERLINK("https://www.youtube.com/watch?v=S2Q6MbgzyQ0")</f>
        <v>https://www.youtube.com/watch?v=S2Q6MbgzyQ0</v>
      </c>
      <c r="X135" s="84" t="s">
        <v>1537</v>
      </c>
      <c r="Y135" s="84">
        <v>0</v>
      </c>
      <c r="Z135" s="84" t="s">
        <v>1613</v>
      </c>
      <c r="AA135" s="84" t="s">
        <v>1613</v>
      </c>
      <c r="AB135" s="84"/>
      <c r="AC135" s="84"/>
      <c r="AD135" s="88" t="s">
        <v>1874</v>
      </c>
      <c r="AE135" s="86">
        <v>1</v>
      </c>
      <c r="AF135" s="87" t="str">
        <f>REPLACE(INDEX(GroupVertices[Group],MATCH(Edges[[#This Row],[Vertex 1]],GroupVertices[Vertex],0)),1,1,"")</f>
        <v>11</v>
      </c>
      <c r="AG135" s="87" t="str">
        <f>REPLACE(INDEX(GroupVertices[Group],MATCH(Edges[[#This Row],[Vertex 2]],GroupVertices[Vertex],0)),1,1,"")</f>
        <v>11</v>
      </c>
      <c r="AH135" s="105"/>
      <c r="AI135" s="105"/>
      <c r="AJ135" s="105"/>
      <c r="AK135" s="105"/>
      <c r="AL135" s="105"/>
      <c r="AM135" s="105"/>
      <c r="AN135" s="105"/>
      <c r="AO135" s="105"/>
      <c r="AP135" s="105"/>
    </row>
    <row r="136" spans="1:42" ht="15">
      <c r="A136" s="61" t="s">
        <v>348</v>
      </c>
      <c r="B136" s="61" t="s">
        <v>639</v>
      </c>
      <c r="C136" s="62" t="s">
        <v>2891</v>
      </c>
      <c r="D136" s="63">
        <v>5</v>
      </c>
      <c r="E136" s="62"/>
      <c r="F136" s="65">
        <v>25</v>
      </c>
      <c r="G136" s="62"/>
      <c r="H136" s="66"/>
      <c r="I136" s="67"/>
      <c r="J136" s="67"/>
      <c r="K136" s="31" t="s">
        <v>65</v>
      </c>
      <c r="L136" s="68">
        <v>136</v>
      </c>
      <c r="M136" s="68"/>
      <c r="N136" s="69"/>
      <c r="O136" s="84" t="s">
        <v>653</v>
      </c>
      <c r="P136" s="84" t="s">
        <v>215</v>
      </c>
      <c r="Q136" s="88" t="s">
        <v>787</v>
      </c>
      <c r="R136" s="84" t="s">
        <v>348</v>
      </c>
      <c r="S136" s="84" t="s">
        <v>1186</v>
      </c>
      <c r="T136" s="90" t="str">
        <f>HYPERLINK("http://www.youtube.com/channel/UCFexwVcT-E1erdHRBETAccQ")</f>
        <v>http://www.youtube.com/channel/UCFexwVcT-E1erdHRBETAccQ</v>
      </c>
      <c r="U136" s="84"/>
      <c r="V136" s="84" t="s">
        <v>1477</v>
      </c>
      <c r="W136" s="90" t="str">
        <f>HYPERLINK("https://www.youtube.com/watch?v=wnu3EgrpDKA")</f>
        <v>https://www.youtube.com/watch?v=wnu3EgrpDKA</v>
      </c>
      <c r="X136" s="84" t="s">
        <v>1537</v>
      </c>
      <c r="Y136" s="84">
        <v>2</v>
      </c>
      <c r="Z136" s="84" t="s">
        <v>1614</v>
      </c>
      <c r="AA136" s="84" t="s">
        <v>1614</v>
      </c>
      <c r="AB136" s="84"/>
      <c r="AC136" s="84"/>
      <c r="AD136" s="88" t="s">
        <v>1874</v>
      </c>
      <c r="AE136" s="86">
        <v>1</v>
      </c>
      <c r="AF136" s="87" t="str">
        <f>REPLACE(INDEX(GroupVertices[Group],MATCH(Edges[[#This Row],[Vertex 1]],GroupVertices[Vertex],0)),1,1,"")</f>
        <v>12</v>
      </c>
      <c r="AG136" s="87" t="str">
        <f>REPLACE(INDEX(GroupVertices[Group],MATCH(Edges[[#This Row],[Vertex 2]],GroupVertices[Vertex],0)),1,1,"")</f>
        <v>12</v>
      </c>
      <c r="AH136" s="105"/>
      <c r="AI136" s="105"/>
      <c r="AJ136" s="105"/>
      <c r="AK136" s="105"/>
      <c r="AL136" s="105"/>
      <c r="AM136" s="105"/>
      <c r="AN136" s="105"/>
      <c r="AO136" s="105"/>
      <c r="AP136" s="105"/>
    </row>
    <row r="137" spans="1:42" ht="15">
      <c r="A137" s="61" t="s">
        <v>349</v>
      </c>
      <c r="B137" s="61" t="s">
        <v>639</v>
      </c>
      <c r="C137" s="62" t="s">
        <v>2891</v>
      </c>
      <c r="D137" s="63">
        <v>5</v>
      </c>
      <c r="E137" s="62"/>
      <c r="F137" s="65">
        <v>25</v>
      </c>
      <c r="G137" s="62"/>
      <c r="H137" s="66"/>
      <c r="I137" s="67"/>
      <c r="J137" s="67"/>
      <c r="K137" s="31" t="s">
        <v>65</v>
      </c>
      <c r="L137" s="68">
        <v>137</v>
      </c>
      <c r="M137" s="68"/>
      <c r="N137" s="69"/>
      <c r="O137" s="84" t="s">
        <v>653</v>
      </c>
      <c r="P137" s="84" t="s">
        <v>215</v>
      </c>
      <c r="Q137" s="88" t="s">
        <v>788</v>
      </c>
      <c r="R137" s="84" t="s">
        <v>349</v>
      </c>
      <c r="S137" s="84" t="s">
        <v>1187</v>
      </c>
      <c r="T137" s="90" t="str">
        <f>HYPERLINK("http://www.youtube.com/channel/UCfBkohNd5NTAvR-tXjceIbg")</f>
        <v>http://www.youtube.com/channel/UCfBkohNd5NTAvR-tXjceIbg</v>
      </c>
      <c r="U137" s="84"/>
      <c r="V137" s="84" t="s">
        <v>1477</v>
      </c>
      <c r="W137" s="90" t="str">
        <f>HYPERLINK("https://www.youtube.com/watch?v=wnu3EgrpDKA")</f>
        <v>https://www.youtube.com/watch?v=wnu3EgrpDKA</v>
      </c>
      <c r="X137" s="84" t="s">
        <v>1537</v>
      </c>
      <c r="Y137" s="84">
        <v>0</v>
      </c>
      <c r="Z137" s="84" t="s">
        <v>1615</v>
      </c>
      <c r="AA137" s="84" t="s">
        <v>1615</v>
      </c>
      <c r="AB137" s="84"/>
      <c r="AC137" s="84"/>
      <c r="AD137" s="88" t="s">
        <v>1874</v>
      </c>
      <c r="AE137" s="86">
        <v>1</v>
      </c>
      <c r="AF137" s="87" t="str">
        <f>REPLACE(INDEX(GroupVertices[Group],MATCH(Edges[[#This Row],[Vertex 1]],GroupVertices[Vertex],0)),1,1,"")</f>
        <v>12</v>
      </c>
      <c r="AG137" s="87" t="str">
        <f>REPLACE(INDEX(GroupVertices[Group],MATCH(Edges[[#This Row],[Vertex 2]],GroupVertices[Vertex],0)),1,1,"")</f>
        <v>12</v>
      </c>
      <c r="AH137" s="105"/>
      <c r="AI137" s="105"/>
      <c r="AJ137" s="105"/>
      <c r="AK137" s="105"/>
      <c r="AL137" s="105"/>
      <c r="AM137" s="105"/>
      <c r="AN137" s="105"/>
      <c r="AO137" s="105"/>
      <c r="AP137" s="105"/>
    </row>
    <row r="138" spans="1:42" ht="15">
      <c r="A138" s="61" t="s">
        <v>350</v>
      </c>
      <c r="B138" s="61" t="s">
        <v>644</v>
      </c>
      <c r="C138" s="62" t="s">
        <v>2891</v>
      </c>
      <c r="D138" s="63">
        <v>5</v>
      </c>
      <c r="E138" s="62"/>
      <c r="F138" s="65">
        <v>25</v>
      </c>
      <c r="G138" s="62"/>
      <c r="H138" s="66"/>
      <c r="I138" s="67"/>
      <c r="J138" s="67"/>
      <c r="K138" s="31" t="s">
        <v>65</v>
      </c>
      <c r="L138" s="68">
        <v>138</v>
      </c>
      <c r="M138" s="68"/>
      <c r="N138" s="69"/>
      <c r="O138" s="84" t="s">
        <v>653</v>
      </c>
      <c r="P138" s="84" t="s">
        <v>215</v>
      </c>
      <c r="Q138" s="88" t="s">
        <v>789</v>
      </c>
      <c r="R138" s="84" t="s">
        <v>350</v>
      </c>
      <c r="S138" s="84" t="s">
        <v>1188</v>
      </c>
      <c r="T138" s="90" t="str">
        <f>HYPERLINK("http://www.youtube.com/channel/UCj4xHrv65XTxE78cv-J4l_w")</f>
        <v>http://www.youtube.com/channel/UCj4xHrv65XTxE78cv-J4l_w</v>
      </c>
      <c r="U138" s="84"/>
      <c r="V138" s="84" t="s">
        <v>1478</v>
      </c>
      <c r="W138" s="90" t="str">
        <f>HYPERLINK("https://www.youtube.com/watch?v=npYopq89aZk")</f>
        <v>https://www.youtube.com/watch?v=npYopq89aZk</v>
      </c>
      <c r="X138" s="84" t="s">
        <v>1537</v>
      </c>
      <c r="Y138" s="84">
        <v>1</v>
      </c>
      <c r="Z138" s="84" t="s">
        <v>1616</v>
      </c>
      <c r="AA138" s="84" t="s">
        <v>1616</v>
      </c>
      <c r="AB138" s="84"/>
      <c r="AC138" s="84"/>
      <c r="AD138" s="88" t="s">
        <v>1874</v>
      </c>
      <c r="AE138" s="86">
        <v>1</v>
      </c>
      <c r="AF138" s="87" t="str">
        <f>REPLACE(INDEX(GroupVertices[Group],MATCH(Edges[[#This Row],[Vertex 1]],GroupVertices[Vertex],0)),1,1,"")</f>
        <v>16</v>
      </c>
      <c r="AG138" s="87" t="str">
        <f>REPLACE(INDEX(GroupVertices[Group],MATCH(Edges[[#This Row],[Vertex 2]],GroupVertices[Vertex],0)),1,1,"")</f>
        <v>16</v>
      </c>
      <c r="AH138" s="105"/>
      <c r="AI138" s="105"/>
      <c r="AJ138" s="105"/>
      <c r="AK138" s="105"/>
      <c r="AL138" s="105"/>
      <c r="AM138" s="105"/>
      <c r="AN138" s="105"/>
      <c r="AO138" s="105"/>
      <c r="AP138" s="105"/>
    </row>
    <row r="139" spans="1:42" ht="15">
      <c r="A139" s="61" t="s">
        <v>351</v>
      </c>
      <c r="B139" s="61" t="s">
        <v>644</v>
      </c>
      <c r="C139" s="62" t="s">
        <v>2891</v>
      </c>
      <c r="D139" s="63">
        <v>5</v>
      </c>
      <c r="E139" s="62"/>
      <c r="F139" s="65">
        <v>25</v>
      </c>
      <c r="G139" s="62"/>
      <c r="H139" s="66"/>
      <c r="I139" s="67"/>
      <c r="J139" s="67"/>
      <c r="K139" s="31" t="s">
        <v>65</v>
      </c>
      <c r="L139" s="68">
        <v>139</v>
      </c>
      <c r="M139" s="68"/>
      <c r="N139" s="69"/>
      <c r="O139" s="84" t="s">
        <v>653</v>
      </c>
      <c r="P139" s="84" t="s">
        <v>215</v>
      </c>
      <c r="Q139" s="88" t="s">
        <v>790</v>
      </c>
      <c r="R139" s="84" t="s">
        <v>351</v>
      </c>
      <c r="S139" s="84" t="s">
        <v>1189</v>
      </c>
      <c r="T139" s="90" t="str">
        <f>HYPERLINK("http://www.youtube.com/channel/UCvLGGqDmzPLsOBI1pfmU3dA")</f>
        <v>http://www.youtube.com/channel/UCvLGGqDmzPLsOBI1pfmU3dA</v>
      </c>
      <c r="U139" s="84"/>
      <c r="V139" s="84" t="s">
        <v>1478</v>
      </c>
      <c r="W139" s="90" t="str">
        <f>HYPERLINK("https://www.youtube.com/watch?v=npYopq89aZk")</f>
        <v>https://www.youtube.com/watch?v=npYopq89aZk</v>
      </c>
      <c r="X139" s="84" t="s">
        <v>1537</v>
      </c>
      <c r="Y139" s="84">
        <v>0</v>
      </c>
      <c r="Z139" s="84" t="s">
        <v>1617</v>
      </c>
      <c r="AA139" s="84" t="s">
        <v>1617</v>
      </c>
      <c r="AB139" s="84"/>
      <c r="AC139" s="84"/>
      <c r="AD139" s="88" t="s">
        <v>1874</v>
      </c>
      <c r="AE139" s="86">
        <v>1</v>
      </c>
      <c r="AF139" s="87" t="str">
        <f>REPLACE(INDEX(GroupVertices[Group],MATCH(Edges[[#This Row],[Vertex 1]],GroupVertices[Vertex],0)),1,1,"")</f>
        <v>16</v>
      </c>
      <c r="AG139" s="87" t="str">
        <f>REPLACE(INDEX(GroupVertices[Group],MATCH(Edges[[#This Row],[Vertex 2]],GroupVertices[Vertex],0)),1,1,"")</f>
        <v>16</v>
      </c>
      <c r="AH139" s="105"/>
      <c r="AI139" s="105"/>
      <c r="AJ139" s="105"/>
      <c r="AK139" s="105"/>
      <c r="AL139" s="105"/>
      <c r="AM139" s="105"/>
      <c r="AN139" s="105"/>
      <c r="AO139" s="105"/>
      <c r="AP139" s="105"/>
    </row>
    <row r="140" spans="1:42" ht="15">
      <c r="A140" s="61" t="s">
        <v>352</v>
      </c>
      <c r="B140" s="61" t="s">
        <v>639</v>
      </c>
      <c r="C140" s="62" t="s">
        <v>2891</v>
      </c>
      <c r="D140" s="63">
        <v>5</v>
      </c>
      <c r="E140" s="62"/>
      <c r="F140" s="65">
        <v>25</v>
      </c>
      <c r="G140" s="62"/>
      <c r="H140" s="66"/>
      <c r="I140" s="67"/>
      <c r="J140" s="67"/>
      <c r="K140" s="31" t="s">
        <v>65</v>
      </c>
      <c r="L140" s="68">
        <v>140</v>
      </c>
      <c r="M140" s="68"/>
      <c r="N140" s="69"/>
      <c r="O140" s="84" t="s">
        <v>653</v>
      </c>
      <c r="P140" s="84" t="s">
        <v>215</v>
      </c>
      <c r="Q140" s="88" t="s">
        <v>791</v>
      </c>
      <c r="R140" s="84" t="s">
        <v>352</v>
      </c>
      <c r="S140" s="84" t="s">
        <v>1190</v>
      </c>
      <c r="T140" s="90" t="str">
        <f>HYPERLINK("http://www.youtube.com/channel/UCZys9czpXl4i_mQCikGuHbQ")</f>
        <v>http://www.youtube.com/channel/UCZys9czpXl4i_mQCikGuHbQ</v>
      </c>
      <c r="U140" s="84"/>
      <c r="V140" s="84" t="s">
        <v>1479</v>
      </c>
      <c r="W140" s="90" t="str">
        <f>HYPERLINK("https://www.youtube.com/watch?v=VMiOmNUJ-_A")</f>
        <v>https://www.youtube.com/watch?v=VMiOmNUJ-_A</v>
      </c>
      <c r="X140" s="84" t="s">
        <v>1537</v>
      </c>
      <c r="Y140" s="84">
        <v>1</v>
      </c>
      <c r="Z140" s="84" t="s">
        <v>1618</v>
      </c>
      <c r="AA140" s="84" t="s">
        <v>1618</v>
      </c>
      <c r="AB140" s="84"/>
      <c r="AC140" s="84"/>
      <c r="AD140" s="88" t="s">
        <v>1874</v>
      </c>
      <c r="AE140" s="86">
        <v>1</v>
      </c>
      <c r="AF140" s="87" t="str">
        <f>REPLACE(INDEX(GroupVertices[Group],MATCH(Edges[[#This Row],[Vertex 1]],GroupVertices[Vertex],0)),1,1,"")</f>
        <v>12</v>
      </c>
      <c r="AG140" s="87" t="str">
        <f>REPLACE(INDEX(GroupVertices[Group],MATCH(Edges[[#This Row],[Vertex 2]],GroupVertices[Vertex],0)),1,1,"")</f>
        <v>12</v>
      </c>
      <c r="AH140" s="105"/>
      <c r="AI140" s="105"/>
      <c r="AJ140" s="105"/>
      <c r="AK140" s="105"/>
      <c r="AL140" s="105"/>
      <c r="AM140" s="105"/>
      <c r="AN140" s="105"/>
      <c r="AO140" s="105"/>
      <c r="AP140" s="105"/>
    </row>
    <row r="141" spans="1:42" ht="15">
      <c r="A141" s="61" t="s">
        <v>353</v>
      </c>
      <c r="B141" s="61" t="s">
        <v>639</v>
      </c>
      <c r="C141" s="62" t="s">
        <v>2891</v>
      </c>
      <c r="D141" s="63">
        <v>5</v>
      </c>
      <c r="E141" s="62"/>
      <c r="F141" s="65">
        <v>25</v>
      </c>
      <c r="G141" s="62"/>
      <c r="H141" s="66"/>
      <c r="I141" s="67"/>
      <c r="J141" s="67"/>
      <c r="K141" s="31" t="s">
        <v>65</v>
      </c>
      <c r="L141" s="68">
        <v>141</v>
      </c>
      <c r="M141" s="68"/>
      <c r="N141" s="69"/>
      <c r="O141" s="84" t="s">
        <v>653</v>
      </c>
      <c r="P141" s="84" t="s">
        <v>215</v>
      </c>
      <c r="Q141" s="88" t="s">
        <v>792</v>
      </c>
      <c r="R141" s="84" t="s">
        <v>353</v>
      </c>
      <c r="S141" s="84" t="s">
        <v>1191</v>
      </c>
      <c r="T141" s="90" t="str">
        <f>HYPERLINK("http://www.youtube.com/channel/UCnLqrdCQ46RiHg4vXINPKGA")</f>
        <v>http://www.youtube.com/channel/UCnLqrdCQ46RiHg4vXINPKGA</v>
      </c>
      <c r="U141" s="84"/>
      <c r="V141" s="84" t="s">
        <v>1479</v>
      </c>
      <c r="W141" s="90" t="str">
        <f>HYPERLINK("https://www.youtube.com/watch?v=VMiOmNUJ-_A")</f>
        <v>https://www.youtube.com/watch?v=VMiOmNUJ-_A</v>
      </c>
      <c r="X141" s="84" t="s">
        <v>1537</v>
      </c>
      <c r="Y141" s="84">
        <v>2</v>
      </c>
      <c r="Z141" s="84" t="s">
        <v>1619</v>
      </c>
      <c r="AA141" s="84" t="s">
        <v>1619</v>
      </c>
      <c r="AB141" s="84"/>
      <c r="AC141" s="84"/>
      <c r="AD141" s="88" t="s">
        <v>1874</v>
      </c>
      <c r="AE141" s="86">
        <v>1</v>
      </c>
      <c r="AF141" s="87" t="str">
        <f>REPLACE(INDEX(GroupVertices[Group],MATCH(Edges[[#This Row],[Vertex 1]],GroupVertices[Vertex],0)),1,1,"")</f>
        <v>12</v>
      </c>
      <c r="AG141" s="87" t="str">
        <f>REPLACE(INDEX(GroupVertices[Group],MATCH(Edges[[#This Row],[Vertex 2]],GroupVertices[Vertex],0)),1,1,"")</f>
        <v>12</v>
      </c>
      <c r="AH141" s="105"/>
      <c r="AI141" s="105"/>
      <c r="AJ141" s="105"/>
      <c r="AK141" s="105"/>
      <c r="AL141" s="105"/>
      <c r="AM141" s="105"/>
      <c r="AN141" s="105"/>
      <c r="AO141" s="105"/>
      <c r="AP141" s="105"/>
    </row>
    <row r="142" spans="1:42" ht="15">
      <c r="A142" s="61" t="s">
        <v>354</v>
      </c>
      <c r="B142" s="61" t="s">
        <v>639</v>
      </c>
      <c r="C142" s="62" t="s">
        <v>2891</v>
      </c>
      <c r="D142" s="63">
        <v>5</v>
      </c>
      <c r="E142" s="62"/>
      <c r="F142" s="65">
        <v>25</v>
      </c>
      <c r="G142" s="62"/>
      <c r="H142" s="66"/>
      <c r="I142" s="67"/>
      <c r="J142" s="67"/>
      <c r="K142" s="31" t="s">
        <v>65</v>
      </c>
      <c r="L142" s="68">
        <v>142</v>
      </c>
      <c r="M142" s="68"/>
      <c r="N142" s="69"/>
      <c r="O142" s="84" t="s">
        <v>653</v>
      </c>
      <c r="P142" s="84" t="s">
        <v>215</v>
      </c>
      <c r="Q142" s="88" t="s">
        <v>793</v>
      </c>
      <c r="R142" s="84" t="s">
        <v>354</v>
      </c>
      <c r="S142" s="84" t="s">
        <v>1192</v>
      </c>
      <c r="T142" s="90" t="str">
        <f>HYPERLINK("http://www.youtube.com/channel/UCbMeIKHrk_YIC5ZHX_kRdpw")</f>
        <v>http://www.youtube.com/channel/UCbMeIKHrk_YIC5ZHX_kRdpw</v>
      </c>
      <c r="U142" s="84"/>
      <c r="V142" s="84" t="s">
        <v>1479</v>
      </c>
      <c r="W142" s="90" t="str">
        <f>HYPERLINK("https://www.youtube.com/watch?v=VMiOmNUJ-_A")</f>
        <v>https://www.youtube.com/watch?v=VMiOmNUJ-_A</v>
      </c>
      <c r="X142" s="84" t="s">
        <v>1537</v>
      </c>
      <c r="Y142" s="84">
        <v>1</v>
      </c>
      <c r="Z142" s="93">
        <v>44931.50078703704</v>
      </c>
      <c r="AA142" s="93">
        <v>44931.50078703704</v>
      </c>
      <c r="AB142" s="84"/>
      <c r="AC142" s="84"/>
      <c r="AD142" s="88" t="s">
        <v>1874</v>
      </c>
      <c r="AE142" s="86">
        <v>1</v>
      </c>
      <c r="AF142" s="87" t="str">
        <f>REPLACE(INDEX(GroupVertices[Group],MATCH(Edges[[#This Row],[Vertex 1]],GroupVertices[Vertex],0)),1,1,"")</f>
        <v>12</v>
      </c>
      <c r="AG142" s="87" t="str">
        <f>REPLACE(INDEX(GroupVertices[Group],MATCH(Edges[[#This Row],[Vertex 2]],GroupVertices[Vertex],0)),1,1,"")</f>
        <v>12</v>
      </c>
      <c r="AH142" s="105"/>
      <c r="AI142" s="105"/>
      <c r="AJ142" s="105"/>
      <c r="AK142" s="105"/>
      <c r="AL142" s="105"/>
      <c r="AM142" s="105"/>
      <c r="AN142" s="105"/>
      <c r="AO142" s="105"/>
      <c r="AP142" s="105"/>
    </row>
    <row r="143" spans="1:42" ht="15">
      <c r="A143" s="61" t="s">
        <v>355</v>
      </c>
      <c r="B143" s="61" t="s">
        <v>641</v>
      </c>
      <c r="C143" s="62" t="s">
        <v>2891</v>
      </c>
      <c r="D143" s="63">
        <v>5</v>
      </c>
      <c r="E143" s="62"/>
      <c r="F143" s="65">
        <v>25</v>
      </c>
      <c r="G143" s="62"/>
      <c r="H143" s="66"/>
      <c r="I143" s="67"/>
      <c r="J143" s="67"/>
      <c r="K143" s="31" t="s">
        <v>65</v>
      </c>
      <c r="L143" s="68">
        <v>143</v>
      </c>
      <c r="M143" s="68"/>
      <c r="N143" s="69"/>
      <c r="O143" s="84" t="s">
        <v>653</v>
      </c>
      <c r="P143" s="84" t="s">
        <v>215</v>
      </c>
      <c r="Q143" s="88" t="s">
        <v>794</v>
      </c>
      <c r="R143" s="84" t="s">
        <v>355</v>
      </c>
      <c r="S143" s="84" t="s">
        <v>1193</v>
      </c>
      <c r="T143" s="90" t="str">
        <f>HYPERLINK("http://www.youtube.com/channel/UCwmTFJqNyteQHyeR2wbVcfQ")</f>
        <v>http://www.youtube.com/channel/UCwmTFJqNyteQHyeR2wbVcfQ</v>
      </c>
      <c r="U143" s="84"/>
      <c r="V143" s="84" t="s">
        <v>1480</v>
      </c>
      <c r="W143" s="90" t="str">
        <f>HYPERLINK("https://www.youtube.com/watch?v=6OvHeSUrUrw")</f>
        <v>https://www.youtube.com/watch?v=6OvHeSUrUrw</v>
      </c>
      <c r="X143" s="84" t="s">
        <v>1537</v>
      </c>
      <c r="Y143" s="84">
        <v>1</v>
      </c>
      <c r="Z143" s="93">
        <v>45051.71177083333</v>
      </c>
      <c r="AA143" s="93">
        <v>45051.71177083333</v>
      </c>
      <c r="AB143" s="84"/>
      <c r="AC143" s="84"/>
      <c r="AD143" s="88" t="s">
        <v>1874</v>
      </c>
      <c r="AE143" s="86">
        <v>1</v>
      </c>
      <c r="AF143" s="87" t="str">
        <f>REPLACE(INDEX(GroupVertices[Group],MATCH(Edges[[#This Row],[Vertex 1]],GroupVertices[Vertex],0)),1,1,"")</f>
        <v>15</v>
      </c>
      <c r="AG143" s="87" t="str">
        <f>REPLACE(INDEX(GroupVertices[Group],MATCH(Edges[[#This Row],[Vertex 2]],GroupVertices[Vertex],0)),1,1,"")</f>
        <v>15</v>
      </c>
      <c r="AH143" s="105"/>
      <c r="AI143" s="105"/>
      <c r="AJ143" s="105"/>
      <c r="AK143" s="105"/>
      <c r="AL143" s="105"/>
      <c r="AM143" s="105"/>
      <c r="AN143" s="105"/>
      <c r="AO143" s="105"/>
      <c r="AP143" s="105"/>
    </row>
    <row r="144" spans="1:42" ht="15">
      <c r="A144" s="61" t="s">
        <v>356</v>
      </c>
      <c r="B144" s="61" t="s">
        <v>641</v>
      </c>
      <c r="C144" s="62" t="s">
        <v>2891</v>
      </c>
      <c r="D144" s="63">
        <v>5</v>
      </c>
      <c r="E144" s="62"/>
      <c r="F144" s="65">
        <v>25</v>
      </c>
      <c r="G144" s="62"/>
      <c r="H144" s="66"/>
      <c r="I144" s="67"/>
      <c r="J144" s="67"/>
      <c r="K144" s="31" t="s">
        <v>65</v>
      </c>
      <c r="L144" s="68">
        <v>144</v>
      </c>
      <c r="M144" s="68"/>
      <c r="N144" s="69"/>
      <c r="O144" s="84" t="s">
        <v>653</v>
      </c>
      <c r="P144" s="84" t="s">
        <v>215</v>
      </c>
      <c r="Q144" s="88" t="s">
        <v>795</v>
      </c>
      <c r="R144" s="84" t="s">
        <v>356</v>
      </c>
      <c r="S144" s="84" t="s">
        <v>1194</v>
      </c>
      <c r="T144" s="90" t="str">
        <f>HYPERLINK("http://www.youtube.com/channel/UCZs-kiQQ9mhe4W36Z4st32w")</f>
        <v>http://www.youtube.com/channel/UCZs-kiQQ9mhe4W36Z4st32w</v>
      </c>
      <c r="U144" s="84"/>
      <c r="V144" s="84" t="s">
        <v>1480</v>
      </c>
      <c r="W144" s="90" t="str">
        <f>HYPERLINK("https://www.youtube.com/watch?v=6OvHeSUrUrw")</f>
        <v>https://www.youtube.com/watch?v=6OvHeSUrUrw</v>
      </c>
      <c r="X144" s="84" t="s">
        <v>1537</v>
      </c>
      <c r="Y144" s="84">
        <v>1</v>
      </c>
      <c r="Z144" s="93">
        <v>45082.00362268519</v>
      </c>
      <c r="AA144" s="93">
        <v>45082.00362268519</v>
      </c>
      <c r="AB144" s="84"/>
      <c r="AC144" s="84"/>
      <c r="AD144" s="88" t="s">
        <v>1874</v>
      </c>
      <c r="AE144" s="86">
        <v>1</v>
      </c>
      <c r="AF144" s="87" t="str">
        <f>REPLACE(INDEX(GroupVertices[Group],MATCH(Edges[[#This Row],[Vertex 1]],GroupVertices[Vertex],0)),1,1,"")</f>
        <v>15</v>
      </c>
      <c r="AG144" s="87" t="str">
        <f>REPLACE(INDEX(GroupVertices[Group],MATCH(Edges[[#This Row],[Vertex 2]],GroupVertices[Vertex],0)),1,1,"")</f>
        <v>15</v>
      </c>
      <c r="AH144" s="105"/>
      <c r="AI144" s="105"/>
      <c r="AJ144" s="105"/>
      <c r="AK144" s="105"/>
      <c r="AL144" s="105"/>
      <c r="AM144" s="105"/>
      <c r="AN144" s="105"/>
      <c r="AO144" s="105"/>
      <c r="AP144" s="105"/>
    </row>
    <row r="145" spans="1:42" ht="15">
      <c r="A145" s="61" t="s">
        <v>357</v>
      </c>
      <c r="B145" s="61" t="s">
        <v>641</v>
      </c>
      <c r="C145" s="62" t="s">
        <v>2891</v>
      </c>
      <c r="D145" s="63">
        <v>5</v>
      </c>
      <c r="E145" s="62"/>
      <c r="F145" s="65">
        <v>25</v>
      </c>
      <c r="G145" s="62"/>
      <c r="H145" s="66"/>
      <c r="I145" s="67"/>
      <c r="J145" s="67"/>
      <c r="K145" s="31" t="s">
        <v>65</v>
      </c>
      <c r="L145" s="68">
        <v>145</v>
      </c>
      <c r="M145" s="68"/>
      <c r="N145" s="69"/>
      <c r="O145" s="84" t="s">
        <v>653</v>
      </c>
      <c r="P145" s="84" t="s">
        <v>215</v>
      </c>
      <c r="Q145" s="88" t="s">
        <v>796</v>
      </c>
      <c r="R145" s="84" t="s">
        <v>357</v>
      </c>
      <c r="S145" s="84" t="s">
        <v>1195</v>
      </c>
      <c r="T145" s="90" t="str">
        <f>HYPERLINK("http://www.youtube.com/channel/UCBVDQ2ttPEi19aYBMhzUUpw")</f>
        <v>http://www.youtube.com/channel/UCBVDQ2ttPEi19aYBMhzUUpw</v>
      </c>
      <c r="U145" s="84"/>
      <c r="V145" s="84" t="s">
        <v>1480</v>
      </c>
      <c r="W145" s="90" t="str">
        <f>HYPERLINK("https://www.youtube.com/watch?v=6OvHeSUrUrw")</f>
        <v>https://www.youtube.com/watch?v=6OvHeSUrUrw</v>
      </c>
      <c r="X145" s="84" t="s">
        <v>1537</v>
      </c>
      <c r="Y145" s="84">
        <v>1</v>
      </c>
      <c r="Z145" s="84" t="s">
        <v>1620</v>
      </c>
      <c r="AA145" s="84" t="s">
        <v>1620</v>
      </c>
      <c r="AB145" s="84"/>
      <c r="AC145" s="84"/>
      <c r="AD145" s="88" t="s">
        <v>1874</v>
      </c>
      <c r="AE145" s="86">
        <v>1</v>
      </c>
      <c r="AF145" s="87" t="str">
        <f>REPLACE(INDEX(GroupVertices[Group],MATCH(Edges[[#This Row],[Vertex 1]],GroupVertices[Vertex],0)),1,1,"")</f>
        <v>15</v>
      </c>
      <c r="AG145" s="87" t="str">
        <f>REPLACE(INDEX(GroupVertices[Group],MATCH(Edges[[#This Row],[Vertex 2]],GroupVertices[Vertex],0)),1,1,"")</f>
        <v>15</v>
      </c>
      <c r="AH145" s="105"/>
      <c r="AI145" s="105"/>
      <c r="AJ145" s="105"/>
      <c r="AK145" s="105"/>
      <c r="AL145" s="105"/>
      <c r="AM145" s="105"/>
      <c r="AN145" s="105"/>
      <c r="AO145" s="105"/>
      <c r="AP145" s="105"/>
    </row>
    <row r="146" spans="1:42" ht="15">
      <c r="A146" s="61" t="s">
        <v>358</v>
      </c>
      <c r="B146" s="61" t="s">
        <v>642</v>
      </c>
      <c r="C146" s="62" t="s">
        <v>2891</v>
      </c>
      <c r="D146" s="63">
        <v>5</v>
      </c>
      <c r="E146" s="62"/>
      <c r="F146" s="65">
        <v>25</v>
      </c>
      <c r="G146" s="62"/>
      <c r="H146" s="66"/>
      <c r="I146" s="67"/>
      <c r="J146" s="67"/>
      <c r="K146" s="31" t="s">
        <v>65</v>
      </c>
      <c r="L146" s="68">
        <v>146</v>
      </c>
      <c r="M146" s="68"/>
      <c r="N146" s="69"/>
      <c r="O146" s="84" t="s">
        <v>653</v>
      </c>
      <c r="P146" s="84" t="s">
        <v>215</v>
      </c>
      <c r="Q146" s="88" t="s">
        <v>797</v>
      </c>
      <c r="R146" s="84" t="s">
        <v>358</v>
      </c>
      <c r="S146" s="84" t="s">
        <v>1196</v>
      </c>
      <c r="T146" s="90" t="str">
        <f>HYPERLINK("http://www.youtube.com/channel/UC3pcN23LvBNoYc1-im8zJVw")</f>
        <v>http://www.youtube.com/channel/UC3pcN23LvBNoYc1-im8zJVw</v>
      </c>
      <c r="U146" s="84"/>
      <c r="V146" s="84" t="s">
        <v>1481</v>
      </c>
      <c r="W146" s="90" t="str">
        <f>HYPERLINK("https://www.youtube.com/watch?v=grXXl_O02g8")</f>
        <v>https://www.youtube.com/watch?v=grXXl_O02g8</v>
      </c>
      <c r="X146" s="84" t="s">
        <v>1537</v>
      </c>
      <c r="Y146" s="84">
        <v>11</v>
      </c>
      <c r="Z146" s="93">
        <v>43501.62221064815</v>
      </c>
      <c r="AA146" s="93">
        <v>43501.62221064815</v>
      </c>
      <c r="AB146" s="84"/>
      <c r="AC146" s="84"/>
      <c r="AD146" s="88" t="s">
        <v>1874</v>
      </c>
      <c r="AE146" s="86">
        <v>1</v>
      </c>
      <c r="AF146" s="87" t="str">
        <f>REPLACE(INDEX(GroupVertices[Group],MATCH(Edges[[#This Row],[Vertex 1]],GroupVertices[Vertex],0)),1,1,"")</f>
        <v>3</v>
      </c>
      <c r="AG146" s="87" t="str">
        <f>REPLACE(INDEX(GroupVertices[Group],MATCH(Edges[[#This Row],[Vertex 2]],GroupVertices[Vertex],0)),1,1,"")</f>
        <v>3</v>
      </c>
      <c r="AH146" s="105"/>
      <c r="AI146" s="105"/>
      <c r="AJ146" s="105"/>
      <c r="AK146" s="105"/>
      <c r="AL146" s="105"/>
      <c r="AM146" s="105"/>
      <c r="AN146" s="105"/>
      <c r="AO146" s="105"/>
      <c r="AP146" s="105"/>
    </row>
    <row r="147" spans="1:42" ht="15">
      <c r="A147" s="61" t="s">
        <v>359</v>
      </c>
      <c r="B147" s="61" t="s">
        <v>642</v>
      </c>
      <c r="C147" s="62" t="s">
        <v>2891</v>
      </c>
      <c r="D147" s="63">
        <v>5</v>
      </c>
      <c r="E147" s="62"/>
      <c r="F147" s="65">
        <v>25</v>
      </c>
      <c r="G147" s="62"/>
      <c r="H147" s="66"/>
      <c r="I147" s="67"/>
      <c r="J147" s="67"/>
      <c r="K147" s="31" t="s">
        <v>65</v>
      </c>
      <c r="L147" s="68">
        <v>147</v>
      </c>
      <c r="M147" s="68"/>
      <c r="N147" s="69"/>
      <c r="O147" s="84" t="s">
        <v>653</v>
      </c>
      <c r="P147" s="84" t="s">
        <v>215</v>
      </c>
      <c r="Q147" s="88" t="s">
        <v>798</v>
      </c>
      <c r="R147" s="84" t="s">
        <v>359</v>
      </c>
      <c r="S147" s="84" t="s">
        <v>1197</v>
      </c>
      <c r="T147" s="90" t="str">
        <f>HYPERLINK("http://www.youtube.com/channel/UCbT9D2gRod5rrcQmHVclgmg")</f>
        <v>http://www.youtube.com/channel/UCbT9D2gRod5rrcQmHVclgmg</v>
      </c>
      <c r="U147" s="84"/>
      <c r="V147" s="84" t="s">
        <v>1481</v>
      </c>
      <c r="W147" s="90" t="str">
        <f>HYPERLINK("https://www.youtube.com/watch?v=grXXl_O02g8")</f>
        <v>https://www.youtube.com/watch?v=grXXl_O02g8</v>
      </c>
      <c r="X147" s="84" t="s">
        <v>1537</v>
      </c>
      <c r="Y147" s="84">
        <v>7</v>
      </c>
      <c r="Z147" s="93">
        <v>43501.73263888889</v>
      </c>
      <c r="AA147" s="93">
        <v>43501.73263888889</v>
      </c>
      <c r="AB147" s="84"/>
      <c r="AC147" s="84"/>
      <c r="AD147" s="88" t="s">
        <v>1874</v>
      </c>
      <c r="AE147" s="86">
        <v>1</v>
      </c>
      <c r="AF147" s="87" t="str">
        <f>REPLACE(INDEX(GroupVertices[Group],MATCH(Edges[[#This Row],[Vertex 1]],GroupVertices[Vertex],0)),1,1,"")</f>
        <v>3</v>
      </c>
      <c r="AG147" s="87" t="str">
        <f>REPLACE(INDEX(GroupVertices[Group],MATCH(Edges[[#This Row],[Vertex 2]],GroupVertices[Vertex],0)),1,1,"")</f>
        <v>3</v>
      </c>
      <c r="AH147" s="105"/>
      <c r="AI147" s="105"/>
      <c r="AJ147" s="105"/>
      <c r="AK147" s="105"/>
      <c r="AL147" s="105"/>
      <c r="AM147" s="105"/>
      <c r="AN147" s="105"/>
      <c r="AO147" s="105"/>
      <c r="AP147" s="105"/>
    </row>
    <row r="148" spans="1:42" ht="15">
      <c r="A148" s="61" t="s">
        <v>360</v>
      </c>
      <c r="B148" s="61" t="s">
        <v>642</v>
      </c>
      <c r="C148" s="62" t="s">
        <v>2891</v>
      </c>
      <c r="D148" s="63">
        <v>5</v>
      </c>
      <c r="E148" s="62"/>
      <c r="F148" s="65">
        <v>25</v>
      </c>
      <c r="G148" s="62"/>
      <c r="H148" s="66"/>
      <c r="I148" s="67"/>
      <c r="J148" s="67"/>
      <c r="K148" s="31" t="s">
        <v>65</v>
      </c>
      <c r="L148" s="68">
        <v>148</v>
      </c>
      <c r="M148" s="68"/>
      <c r="N148" s="69"/>
      <c r="O148" s="84" t="s">
        <v>653</v>
      </c>
      <c r="P148" s="84" t="s">
        <v>215</v>
      </c>
      <c r="Q148" s="88" t="s">
        <v>799</v>
      </c>
      <c r="R148" s="84" t="s">
        <v>360</v>
      </c>
      <c r="S148" s="84" t="s">
        <v>1198</v>
      </c>
      <c r="T148" s="90" t="str">
        <f>HYPERLINK("http://www.youtube.com/channel/UC8tGMCWGpGyKpr03A3OfgaA")</f>
        <v>http://www.youtube.com/channel/UC8tGMCWGpGyKpr03A3OfgaA</v>
      </c>
      <c r="U148" s="84"/>
      <c r="V148" s="84" t="s">
        <v>1481</v>
      </c>
      <c r="W148" s="90" t="str">
        <f>HYPERLINK("https://www.youtube.com/watch?v=grXXl_O02g8")</f>
        <v>https://www.youtube.com/watch?v=grXXl_O02g8</v>
      </c>
      <c r="X148" s="84" t="s">
        <v>1537</v>
      </c>
      <c r="Y148" s="84">
        <v>35</v>
      </c>
      <c r="Z148" s="93">
        <v>43501.86890046296</v>
      </c>
      <c r="AA148" s="93">
        <v>43501.86890046296</v>
      </c>
      <c r="AB148" s="84"/>
      <c r="AC148" s="84"/>
      <c r="AD148" s="88" t="s">
        <v>1874</v>
      </c>
      <c r="AE148" s="86">
        <v>1</v>
      </c>
      <c r="AF148" s="87" t="str">
        <f>REPLACE(INDEX(GroupVertices[Group],MATCH(Edges[[#This Row],[Vertex 1]],GroupVertices[Vertex],0)),1,1,"")</f>
        <v>3</v>
      </c>
      <c r="AG148" s="87" t="str">
        <f>REPLACE(INDEX(GroupVertices[Group],MATCH(Edges[[#This Row],[Vertex 2]],GroupVertices[Vertex],0)),1,1,"")</f>
        <v>3</v>
      </c>
      <c r="AH148" s="105"/>
      <c r="AI148" s="105"/>
      <c r="AJ148" s="105"/>
      <c r="AK148" s="105"/>
      <c r="AL148" s="105"/>
      <c r="AM148" s="105"/>
      <c r="AN148" s="105"/>
      <c r="AO148" s="105"/>
      <c r="AP148" s="105"/>
    </row>
    <row r="149" spans="1:42" ht="15">
      <c r="A149" s="61" t="s">
        <v>361</v>
      </c>
      <c r="B149" s="61" t="s">
        <v>642</v>
      </c>
      <c r="C149" s="62" t="s">
        <v>2891</v>
      </c>
      <c r="D149" s="63">
        <v>5</v>
      </c>
      <c r="E149" s="62"/>
      <c r="F149" s="65">
        <v>25</v>
      </c>
      <c r="G149" s="62"/>
      <c r="H149" s="66"/>
      <c r="I149" s="67"/>
      <c r="J149" s="67"/>
      <c r="K149" s="31" t="s">
        <v>65</v>
      </c>
      <c r="L149" s="68">
        <v>149</v>
      </c>
      <c r="M149" s="68"/>
      <c r="N149" s="69"/>
      <c r="O149" s="84" t="s">
        <v>653</v>
      </c>
      <c r="P149" s="84" t="s">
        <v>215</v>
      </c>
      <c r="Q149" s="88" t="s">
        <v>800</v>
      </c>
      <c r="R149" s="84" t="s">
        <v>361</v>
      </c>
      <c r="S149" s="84" t="s">
        <v>1199</v>
      </c>
      <c r="T149" s="90" t="str">
        <f>HYPERLINK("http://www.youtube.com/channel/UCV7xNhQkzhRIwkxZ4SwJmfA")</f>
        <v>http://www.youtube.com/channel/UCV7xNhQkzhRIwkxZ4SwJmfA</v>
      </c>
      <c r="U149" s="84"/>
      <c r="V149" s="84" t="s">
        <v>1481</v>
      </c>
      <c r="W149" s="90" t="str">
        <f>HYPERLINK("https://www.youtube.com/watch?v=grXXl_O02g8")</f>
        <v>https://www.youtube.com/watch?v=grXXl_O02g8</v>
      </c>
      <c r="X149" s="84" t="s">
        <v>1537</v>
      </c>
      <c r="Y149" s="84">
        <v>6</v>
      </c>
      <c r="Z149" s="93">
        <v>43501.8927662037</v>
      </c>
      <c r="AA149" s="93">
        <v>43501.8927662037</v>
      </c>
      <c r="AB149" s="84"/>
      <c r="AC149" s="84"/>
      <c r="AD149" s="88" t="s">
        <v>1874</v>
      </c>
      <c r="AE149" s="86">
        <v>1</v>
      </c>
      <c r="AF149" s="87" t="str">
        <f>REPLACE(INDEX(GroupVertices[Group],MATCH(Edges[[#This Row],[Vertex 1]],GroupVertices[Vertex],0)),1,1,"")</f>
        <v>3</v>
      </c>
      <c r="AG149" s="87" t="str">
        <f>REPLACE(INDEX(GroupVertices[Group],MATCH(Edges[[#This Row],[Vertex 2]],GroupVertices[Vertex],0)),1,1,"")</f>
        <v>3</v>
      </c>
      <c r="AH149" s="105"/>
      <c r="AI149" s="105"/>
      <c r="AJ149" s="105"/>
      <c r="AK149" s="105"/>
      <c r="AL149" s="105"/>
      <c r="AM149" s="105"/>
      <c r="AN149" s="105"/>
      <c r="AO149" s="105"/>
      <c r="AP149" s="105"/>
    </row>
    <row r="150" spans="1:42" ht="15">
      <c r="A150" s="61" t="s">
        <v>362</v>
      </c>
      <c r="B150" s="61" t="s">
        <v>642</v>
      </c>
      <c r="C150" s="62" t="s">
        <v>2891</v>
      </c>
      <c r="D150" s="63">
        <v>5</v>
      </c>
      <c r="E150" s="62"/>
      <c r="F150" s="65">
        <v>25</v>
      </c>
      <c r="G150" s="62"/>
      <c r="H150" s="66"/>
      <c r="I150" s="67"/>
      <c r="J150" s="67"/>
      <c r="K150" s="31" t="s">
        <v>65</v>
      </c>
      <c r="L150" s="68">
        <v>150</v>
      </c>
      <c r="M150" s="68"/>
      <c r="N150" s="69"/>
      <c r="O150" s="84" t="s">
        <v>653</v>
      </c>
      <c r="P150" s="84" t="s">
        <v>215</v>
      </c>
      <c r="Q150" s="88" t="s">
        <v>801</v>
      </c>
      <c r="R150" s="84" t="s">
        <v>362</v>
      </c>
      <c r="S150" s="84" t="s">
        <v>1200</v>
      </c>
      <c r="T150" s="90" t="str">
        <f>HYPERLINK("http://www.youtube.com/channel/UCaLlHiSAUw1YPuAT9IUrMOw")</f>
        <v>http://www.youtube.com/channel/UCaLlHiSAUw1YPuAT9IUrMOw</v>
      </c>
      <c r="U150" s="84"/>
      <c r="V150" s="84" t="s">
        <v>1481</v>
      </c>
      <c r="W150" s="90" t="str">
        <f>HYPERLINK("https://www.youtube.com/watch?v=grXXl_O02g8")</f>
        <v>https://www.youtube.com/watch?v=grXXl_O02g8</v>
      </c>
      <c r="X150" s="84" t="s">
        <v>1537</v>
      </c>
      <c r="Y150" s="84">
        <v>40</v>
      </c>
      <c r="Z150" s="93">
        <v>43529.4762962963</v>
      </c>
      <c r="AA150" s="93">
        <v>43529.4762962963</v>
      </c>
      <c r="AB150" s="84"/>
      <c r="AC150" s="84"/>
      <c r="AD150" s="88" t="s">
        <v>1874</v>
      </c>
      <c r="AE150" s="86">
        <v>1</v>
      </c>
      <c r="AF150" s="87" t="str">
        <f>REPLACE(INDEX(GroupVertices[Group],MATCH(Edges[[#This Row],[Vertex 1]],GroupVertices[Vertex],0)),1,1,"")</f>
        <v>3</v>
      </c>
      <c r="AG150" s="87" t="str">
        <f>REPLACE(INDEX(GroupVertices[Group],MATCH(Edges[[#This Row],[Vertex 2]],GroupVertices[Vertex],0)),1,1,"")</f>
        <v>3</v>
      </c>
      <c r="AH150" s="105"/>
      <c r="AI150" s="105"/>
      <c r="AJ150" s="105"/>
      <c r="AK150" s="105"/>
      <c r="AL150" s="105"/>
      <c r="AM150" s="105"/>
      <c r="AN150" s="105"/>
      <c r="AO150" s="105"/>
      <c r="AP150" s="105"/>
    </row>
    <row r="151" spans="1:42" ht="15">
      <c r="A151" s="61" t="s">
        <v>363</v>
      </c>
      <c r="B151" s="61" t="s">
        <v>642</v>
      </c>
      <c r="C151" s="62" t="s">
        <v>2891</v>
      </c>
      <c r="D151" s="63">
        <v>5</v>
      </c>
      <c r="E151" s="62"/>
      <c r="F151" s="65">
        <v>25</v>
      </c>
      <c r="G151" s="62"/>
      <c r="H151" s="66"/>
      <c r="I151" s="67"/>
      <c r="J151" s="67"/>
      <c r="K151" s="31" t="s">
        <v>65</v>
      </c>
      <c r="L151" s="68">
        <v>151</v>
      </c>
      <c r="M151" s="68"/>
      <c r="N151" s="69"/>
      <c r="O151" s="84" t="s">
        <v>653</v>
      </c>
      <c r="P151" s="84" t="s">
        <v>215</v>
      </c>
      <c r="Q151" s="88" t="s">
        <v>802</v>
      </c>
      <c r="R151" s="84" t="s">
        <v>363</v>
      </c>
      <c r="S151" s="84" t="s">
        <v>1201</v>
      </c>
      <c r="T151" s="90" t="str">
        <f>HYPERLINK("http://www.youtube.com/channel/UCcn0cZGtTWygUug8CpHxv0Q")</f>
        <v>http://www.youtube.com/channel/UCcn0cZGtTWygUug8CpHxv0Q</v>
      </c>
      <c r="U151" s="84"/>
      <c r="V151" s="84" t="s">
        <v>1481</v>
      </c>
      <c r="W151" s="90" t="str">
        <f>HYPERLINK("https://www.youtube.com/watch?v=grXXl_O02g8")</f>
        <v>https://www.youtube.com/watch?v=grXXl_O02g8</v>
      </c>
      <c r="X151" s="84" t="s">
        <v>1537</v>
      </c>
      <c r="Y151" s="84">
        <v>8</v>
      </c>
      <c r="Z151" s="93">
        <v>43529.47709490741</v>
      </c>
      <c r="AA151" s="93">
        <v>43529.47709490741</v>
      </c>
      <c r="AB151" s="84"/>
      <c r="AC151" s="84"/>
      <c r="AD151" s="88" t="s">
        <v>1874</v>
      </c>
      <c r="AE151" s="86">
        <v>1</v>
      </c>
      <c r="AF151" s="87" t="str">
        <f>REPLACE(INDEX(GroupVertices[Group],MATCH(Edges[[#This Row],[Vertex 1]],GroupVertices[Vertex],0)),1,1,"")</f>
        <v>3</v>
      </c>
      <c r="AG151" s="87" t="str">
        <f>REPLACE(INDEX(GroupVertices[Group],MATCH(Edges[[#This Row],[Vertex 2]],GroupVertices[Vertex],0)),1,1,"")</f>
        <v>3</v>
      </c>
      <c r="AH151" s="105"/>
      <c r="AI151" s="105"/>
      <c r="AJ151" s="105"/>
      <c r="AK151" s="105"/>
      <c r="AL151" s="105"/>
      <c r="AM151" s="105"/>
      <c r="AN151" s="105"/>
      <c r="AO151" s="105"/>
      <c r="AP151" s="105"/>
    </row>
    <row r="152" spans="1:42" ht="15">
      <c r="A152" s="61" t="s">
        <v>364</v>
      </c>
      <c r="B152" s="61" t="s">
        <v>642</v>
      </c>
      <c r="C152" s="62" t="s">
        <v>2891</v>
      </c>
      <c r="D152" s="63">
        <v>5</v>
      </c>
      <c r="E152" s="62"/>
      <c r="F152" s="65">
        <v>25</v>
      </c>
      <c r="G152" s="62"/>
      <c r="H152" s="66"/>
      <c r="I152" s="67"/>
      <c r="J152" s="67"/>
      <c r="K152" s="31" t="s">
        <v>65</v>
      </c>
      <c r="L152" s="68">
        <v>152</v>
      </c>
      <c r="M152" s="68"/>
      <c r="N152" s="69"/>
      <c r="O152" s="84" t="s">
        <v>653</v>
      </c>
      <c r="P152" s="84" t="s">
        <v>215</v>
      </c>
      <c r="Q152" s="88" t="s">
        <v>803</v>
      </c>
      <c r="R152" s="84" t="s">
        <v>364</v>
      </c>
      <c r="S152" s="84" t="s">
        <v>1202</v>
      </c>
      <c r="T152" s="90" t="str">
        <f>HYPERLINK("http://www.youtube.com/channel/UCAlQVG7X6q6up2bp3uqiQJg")</f>
        <v>http://www.youtube.com/channel/UCAlQVG7X6q6up2bp3uqiQJg</v>
      </c>
      <c r="U152" s="84"/>
      <c r="V152" s="84" t="s">
        <v>1481</v>
      </c>
      <c r="W152" s="90" t="str">
        <f>HYPERLINK("https://www.youtube.com/watch?v=grXXl_O02g8")</f>
        <v>https://www.youtube.com/watch?v=grXXl_O02g8</v>
      </c>
      <c r="X152" s="84" t="s">
        <v>1537</v>
      </c>
      <c r="Y152" s="84">
        <v>15</v>
      </c>
      <c r="Z152" s="93">
        <v>43529.94770833333</v>
      </c>
      <c r="AA152" s="93">
        <v>43529.94770833333</v>
      </c>
      <c r="AB152" s="84" t="s">
        <v>1859</v>
      </c>
      <c r="AC152" s="84" t="s">
        <v>1869</v>
      </c>
      <c r="AD152" s="88" t="s">
        <v>1874</v>
      </c>
      <c r="AE152" s="86">
        <v>1</v>
      </c>
      <c r="AF152" s="87" t="str">
        <f>REPLACE(INDEX(GroupVertices[Group],MATCH(Edges[[#This Row],[Vertex 1]],GroupVertices[Vertex],0)),1,1,"")</f>
        <v>3</v>
      </c>
      <c r="AG152" s="87" t="str">
        <f>REPLACE(INDEX(GroupVertices[Group],MATCH(Edges[[#This Row],[Vertex 2]],GroupVertices[Vertex],0)),1,1,"")</f>
        <v>3</v>
      </c>
      <c r="AH152" s="105"/>
      <c r="AI152" s="105"/>
      <c r="AJ152" s="105"/>
      <c r="AK152" s="105"/>
      <c r="AL152" s="105"/>
      <c r="AM152" s="105"/>
      <c r="AN152" s="105"/>
      <c r="AO152" s="105"/>
      <c r="AP152" s="105"/>
    </row>
    <row r="153" spans="1:42" ht="15">
      <c r="A153" s="61" t="s">
        <v>365</v>
      </c>
      <c r="B153" s="61" t="s">
        <v>642</v>
      </c>
      <c r="C153" s="62" t="s">
        <v>2891</v>
      </c>
      <c r="D153" s="63">
        <v>5</v>
      </c>
      <c r="E153" s="62"/>
      <c r="F153" s="65">
        <v>25</v>
      </c>
      <c r="G153" s="62"/>
      <c r="H153" s="66"/>
      <c r="I153" s="67"/>
      <c r="J153" s="67"/>
      <c r="K153" s="31" t="s">
        <v>65</v>
      </c>
      <c r="L153" s="68">
        <v>153</v>
      </c>
      <c r="M153" s="68"/>
      <c r="N153" s="69"/>
      <c r="O153" s="84" t="s">
        <v>653</v>
      </c>
      <c r="P153" s="84" t="s">
        <v>215</v>
      </c>
      <c r="Q153" s="88" t="s">
        <v>804</v>
      </c>
      <c r="R153" s="84" t="s">
        <v>365</v>
      </c>
      <c r="S153" s="84" t="s">
        <v>1203</v>
      </c>
      <c r="T153" s="90" t="str">
        <f>HYPERLINK("http://www.youtube.com/channel/UChXAlJtwAr0jfbPXDxtE-yQ")</f>
        <v>http://www.youtube.com/channel/UChXAlJtwAr0jfbPXDxtE-yQ</v>
      </c>
      <c r="U153" s="84"/>
      <c r="V153" s="84" t="s">
        <v>1481</v>
      </c>
      <c r="W153" s="90" t="str">
        <f>HYPERLINK("https://www.youtube.com/watch?v=grXXl_O02g8")</f>
        <v>https://www.youtube.com/watch?v=grXXl_O02g8</v>
      </c>
      <c r="X153" s="84" t="s">
        <v>1537</v>
      </c>
      <c r="Y153" s="84">
        <v>63</v>
      </c>
      <c r="Z153" s="93">
        <v>43560.44831018519</v>
      </c>
      <c r="AA153" s="93">
        <v>43560.44831018519</v>
      </c>
      <c r="AB153" s="84"/>
      <c r="AC153" s="84"/>
      <c r="AD153" s="88" t="s">
        <v>1874</v>
      </c>
      <c r="AE153" s="86">
        <v>1</v>
      </c>
      <c r="AF153" s="87" t="str">
        <f>REPLACE(INDEX(GroupVertices[Group],MATCH(Edges[[#This Row],[Vertex 1]],GroupVertices[Vertex],0)),1,1,"")</f>
        <v>3</v>
      </c>
      <c r="AG153" s="87" t="str">
        <f>REPLACE(INDEX(GroupVertices[Group],MATCH(Edges[[#This Row],[Vertex 2]],GroupVertices[Vertex],0)),1,1,"")</f>
        <v>3</v>
      </c>
      <c r="AH153" s="105"/>
      <c r="AI153" s="105"/>
      <c r="AJ153" s="105"/>
      <c r="AK153" s="105"/>
      <c r="AL153" s="105"/>
      <c r="AM153" s="105"/>
      <c r="AN153" s="105"/>
      <c r="AO153" s="105"/>
      <c r="AP153" s="105"/>
    </row>
    <row r="154" spans="1:42" ht="15">
      <c r="A154" s="61" t="s">
        <v>366</v>
      </c>
      <c r="B154" s="61" t="s">
        <v>642</v>
      </c>
      <c r="C154" s="62" t="s">
        <v>2891</v>
      </c>
      <c r="D154" s="63">
        <v>5</v>
      </c>
      <c r="E154" s="62"/>
      <c r="F154" s="65">
        <v>25</v>
      </c>
      <c r="G154" s="62"/>
      <c r="H154" s="66"/>
      <c r="I154" s="67"/>
      <c r="J154" s="67"/>
      <c r="K154" s="31" t="s">
        <v>65</v>
      </c>
      <c r="L154" s="68">
        <v>154</v>
      </c>
      <c r="M154" s="68"/>
      <c r="N154" s="69"/>
      <c r="O154" s="84" t="s">
        <v>653</v>
      </c>
      <c r="P154" s="84" t="s">
        <v>215</v>
      </c>
      <c r="Q154" s="88" t="s">
        <v>805</v>
      </c>
      <c r="R154" s="84" t="s">
        <v>366</v>
      </c>
      <c r="S154" s="84" t="s">
        <v>1204</v>
      </c>
      <c r="T154" s="90" t="str">
        <f>HYPERLINK("http://www.youtube.com/channel/UCV8NpeOl3tbwwa-NU-fB5pA")</f>
        <v>http://www.youtube.com/channel/UCV8NpeOl3tbwwa-NU-fB5pA</v>
      </c>
      <c r="U154" s="84"/>
      <c r="V154" s="84" t="s">
        <v>1481</v>
      </c>
      <c r="W154" s="90" t="str">
        <f>HYPERLINK("https://www.youtube.com/watch?v=grXXl_O02g8")</f>
        <v>https://www.youtube.com/watch?v=grXXl_O02g8</v>
      </c>
      <c r="X154" s="84" t="s">
        <v>1537</v>
      </c>
      <c r="Y154" s="84">
        <v>7</v>
      </c>
      <c r="Z154" s="93">
        <v>43621.87037037037</v>
      </c>
      <c r="AA154" s="93">
        <v>43621.87037037037</v>
      </c>
      <c r="AB154" s="84"/>
      <c r="AC154" s="84"/>
      <c r="AD154" s="88" t="s">
        <v>1874</v>
      </c>
      <c r="AE154" s="86">
        <v>1</v>
      </c>
      <c r="AF154" s="87" t="str">
        <f>REPLACE(INDEX(GroupVertices[Group],MATCH(Edges[[#This Row],[Vertex 1]],GroupVertices[Vertex],0)),1,1,"")</f>
        <v>3</v>
      </c>
      <c r="AG154" s="87" t="str">
        <f>REPLACE(INDEX(GroupVertices[Group],MATCH(Edges[[#This Row],[Vertex 2]],GroupVertices[Vertex],0)),1,1,"")</f>
        <v>3</v>
      </c>
      <c r="AH154" s="105"/>
      <c r="AI154" s="105"/>
      <c r="AJ154" s="105"/>
      <c r="AK154" s="105"/>
      <c r="AL154" s="105"/>
      <c r="AM154" s="105"/>
      <c r="AN154" s="105"/>
      <c r="AO154" s="105"/>
      <c r="AP154" s="105"/>
    </row>
    <row r="155" spans="1:42" ht="15">
      <c r="A155" s="61" t="s">
        <v>367</v>
      </c>
      <c r="B155" s="61" t="s">
        <v>642</v>
      </c>
      <c r="C155" s="62" t="s">
        <v>2891</v>
      </c>
      <c r="D155" s="63">
        <v>5</v>
      </c>
      <c r="E155" s="62"/>
      <c r="F155" s="65">
        <v>25</v>
      </c>
      <c r="G155" s="62"/>
      <c r="H155" s="66"/>
      <c r="I155" s="67"/>
      <c r="J155" s="67"/>
      <c r="K155" s="31" t="s">
        <v>65</v>
      </c>
      <c r="L155" s="68">
        <v>155</v>
      </c>
      <c r="M155" s="68"/>
      <c r="N155" s="69"/>
      <c r="O155" s="84" t="s">
        <v>653</v>
      </c>
      <c r="P155" s="84" t="s">
        <v>215</v>
      </c>
      <c r="Q155" s="88" t="s">
        <v>806</v>
      </c>
      <c r="R155" s="84" t="s">
        <v>367</v>
      </c>
      <c r="S155" s="84" t="s">
        <v>1205</v>
      </c>
      <c r="T155" s="90" t="str">
        <f>HYPERLINK("http://www.youtube.com/channel/UCC4NG14Z3qrcu9bS842aLWQ")</f>
        <v>http://www.youtube.com/channel/UCC4NG14Z3qrcu9bS842aLWQ</v>
      </c>
      <c r="U155" s="84"/>
      <c r="V155" s="84" t="s">
        <v>1481</v>
      </c>
      <c r="W155" s="90" t="str">
        <f>HYPERLINK("https://www.youtube.com/watch?v=grXXl_O02g8")</f>
        <v>https://www.youtube.com/watch?v=grXXl_O02g8</v>
      </c>
      <c r="X155" s="84" t="s">
        <v>1537</v>
      </c>
      <c r="Y155" s="84">
        <v>35</v>
      </c>
      <c r="Z155" s="93">
        <v>43774.98626157407</v>
      </c>
      <c r="AA155" s="93">
        <v>43774.98626157407</v>
      </c>
      <c r="AB155" s="84"/>
      <c r="AC155" s="84"/>
      <c r="AD155" s="88" t="s">
        <v>1874</v>
      </c>
      <c r="AE155" s="86">
        <v>1</v>
      </c>
      <c r="AF155" s="87" t="str">
        <f>REPLACE(INDEX(GroupVertices[Group],MATCH(Edges[[#This Row],[Vertex 1]],GroupVertices[Vertex],0)),1,1,"")</f>
        <v>3</v>
      </c>
      <c r="AG155" s="87" t="str">
        <f>REPLACE(INDEX(GroupVertices[Group],MATCH(Edges[[#This Row],[Vertex 2]],GroupVertices[Vertex],0)),1,1,"")</f>
        <v>3</v>
      </c>
      <c r="AH155" s="105"/>
      <c r="AI155" s="105"/>
      <c r="AJ155" s="105"/>
      <c r="AK155" s="105"/>
      <c r="AL155" s="105"/>
      <c r="AM155" s="105"/>
      <c r="AN155" s="105"/>
      <c r="AO155" s="105"/>
      <c r="AP155" s="105"/>
    </row>
    <row r="156" spans="1:42" ht="15">
      <c r="A156" s="61" t="s">
        <v>368</v>
      </c>
      <c r="B156" s="61" t="s">
        <v>642</v>
      </c>
      <c r="C156" s="62" t="s">
        <v>2891</v>
      </c>
      <c r="D156" s="63">
        <v>5</v>
      </c>
      <c r="E156" s="62"/>
      <c r="F156" s="65">
        <v>25</v>
      </c>
      <c r="G156" s="62"/>
      <c r="H156" s="66"/>
      <c r="I156" s="67"/>
      <c r="J156" s="67"/>
      <c r="K156" s="31" t="s">
        <v>65</v>
      </c>
      <c r="L156" s="68">
        <v>156</v>
      </c>
      <c r="M156" s="68"/>
      <c r="N156" s="69"/>
      <c r="O156" s="84" t="s">
        <v>653</v>
      </c>
      <c r="P156" s="84" t="s">
        <v>215</v>
      </c>
      <c r="Q156" s="88" t="s">
        <v>807</v>
      </c>
      <c r="R156" s="84" t="s">
        <v>368</v>
      </c>
      <c r="S156" s="84" t="s">
        <v>1206</v>
      </c>
      <c r="T156" s="90" t="str">
        <f>HYPERLINK("http://www.youtube.com/channel/UCGl6y17ZnOoHzf2p-siY-ig")</f>
        <v>http://www.youtube.com/channel/UCGl6y17ZnOoHzf2p-siY-ig</v>
      </c>
      <c r="U156" s="84"/>
      <c r="V156" s="84" t="s">
        <v>1481</v>
      </c>
      <c r="W156" s="90" t="str">
        <f>HYPERLINK("https://www.youtube.com/watch?v=grXXl_O02g8")</f>
        <v>https://www.youtube.com/watch?v=grXXl_O02g8</v>
      </c>
      <c r="X156" s="84" t="s">
        <v>1537</v>
      </c>
      <c r="Y156" s="84">
        <v>8</v>
      </c>
      <c r="Z156" s="84" t="s">
        <v>1621</v>
      </c>
      <c r="AA156" s="84" t="s">
        <v>1621</v>
      </c>
      <c r="AB156" s="84"/>
      <c r="AC156" s="84"/>
      <c r="AD156" s="88" t="s">
        <v>1874</v>
      </c>
      <c r="AE156" s="86">
        <v>1</v>
      </c>
      <c r="AF156" s="87" t="str">
        <f>REPLACE(INDEX(GroupVertices[Group],MATCH(Edges[[#This Row],[Vertex 1]],GroupVertices[Vertex],0)),1,1,"")</f>
        <v>3</v>
      </c>
      <c r="AG156" s="87" t="str">
        <f>REPLACE(INDEX(GroupVertices[Group],MATCH(Edges[[#This Row],[Vertex 2]],GroupVertices[Vertex],0)),1,1,"")</f>
        <v>3</v>
      </c>
      <c r="AH156" s="105"/>
      <c r="AI156" s="105"/>
      <c r="AJ156" s="105"/>
      <c r="AK156" s="105"/>
      <c r="AL156" s="105"/>
      <c r="AM156" s="105"/>
      <c r="AN156" s="105"/>
      <c r="AO156" s="105"/>
      <c r="AP156" s="105"/>
    </row>
    <row r="157" spans="1:42" ht="15">
      <c r="A157" s="61" t="s">
        <v>369</v>
      </c>
      <c r="B157" s="61" t="s">
        <v>642</v>
      </c>
      <c r="C157" s="62" t="s">
        <v>2891</v>
      </c>
      <c r="D157" s="63">
        <v>5</v>
      </c>
      <c r="E157" s="62"/>
      <c r="F157" s="65">
        <v>25</v>
      </c>
      <c r="G157" s="62"/>
      <c r="H157" s="66"/>
      <c r="I157" s="67"/>
      <c r="J157" s="67"/>
      <c r="K157" s="31" t="s">
        <v>65</v>
      </c>
      <c r="L157" s="68">
        <v>157</v>
      </c>
      <c r="M157" s="68"/>
      <c r="N157" s="69"/>
      <c r="O157" s="84" t="s">
        <v>653</v>
      </c>
      <c r="P157" s="84" t="s">
        <v>215</v>
      </c>
      <c r="Q157" s="88" t="s">
        <v>808</v>
      </c>
      <c r="R157" s="84" t="s">
        <v>369</v>
      </c>
      <c r="S157" s="84" t="s">
        <v>1207</v>
      </c>
      <c r="T157" s="90" t="str">
        <f>HYPERLINK("http://www.youtube.com/channel/UCITbQaITvD5Qpg4ByBhcaSw")</f>
        <v>http://www.youtube.com/channel/UCITbQaITvD5Qpg4ByBhcaSw</v>
      </c>
      <c r="U157" s="84"/>
      <c r="V157" s="84" t="s">
        <v>1481</v>
      </c>
      <c r="W157" s="90" t="str">
        <f>HYPERLINK("https://www.youtube.com/watch?v=grXXl_O02g8")</f>
        <v>https://www.youtube.com/watch?v=grXXl_O02g8</v>
      </c>
      <c r="X157" s="84" t="s">
        <v>1537</v>
      </c>
      <c r="Y157" s="84">
        <v>0</v>
      </c>
      <c r="Z157" s="84" t="s">
        <v>1622</v>
      </c>
      <c r="AA157" s="84" t="s">
        <v>1622</v>
      </c>
      <c r="AB157" s="84"/>
      <c r="AC157" s="84"/>
      <c r="AD157" s="88" t="s">
        <v>1874</v>
      </c>
      <c r="AE157" s="86">
        <v>1</v>
      </c>
      <c r="AF157" s="87" t="str">
        <f>REPLACE(INDEX(GroupVertices[Group],MATCH(Edges[[#This Row],[Vertex 1]],GroupVertices[Vertex],0)),1,1,"")</f>
        <v>3</v>
      </c>
      <c r="AG157" s="87" t="str">
        <f>REPLACE(INDEX(GroupVertices[Group],MATCH(Edges[[#This Row],[Vertex 2]],GroupVertices[Vertex],0)),1,1,"")</f>
        <v>3</v>
      </c>
      <c r="AH157" s="105"/>
      <c r="AI157" s="105"/>
      <c r="AJ157" s="105"/>
      <c r="AK157" s="105"/>
      <c r="AL157" s="105"/>
      <c r="AM157" s="105"/>
      <c r="AN157" s="105"/>
      <c r="AO157" s="105"/>
      <c r="AP157" s="105"/>
    </row>
    <row r="158" spans="1:42" ht="15">
      <c r="A158" s="61" t="s">
        <v>370</v>
      </c>
      <c r="B158" s="61" t="s">
        <v>642</v>
      </c>
      <c r="C158" s="62" t="s">
        <v>2891</v>
      </c>
      <c r="D158" s="63">
        <v>5</v>
      </c>
      <c r="E158" s="62"/>
      <c r="F158" s="65">
        <v>25</v>
      </c>
      <c r="G158" s="62"/>
      <c r="H158" s="66"/>
      <c r="I158" s="67"/>
      <c r="J158" s="67"/>
      <c r="K158" s="31" t="s">
        <v>65</v>
      </c>
      <c r="L158" s="68">
        <v>158</v>
      </c>
      <c r="M158" s="68"/>
      <c r="N158" s="69"/>
      <c r="O158" s="84" t="s">
        <v>653</v>
      </c>
      <c r="P158" s="84" t="s">
        <v>215</v>
      </c>
      <c r="Q158" s="88" t="s">
        <v>809</v>
      </c>
      <c r="R158" s="84" t="s">
        <v>370</v>
      </c>
      <c r="S158" s="84" t="s">
        <v>1208</v>
      </c>
      <c r="T158" s="90" t="str">
        <f>HYPERLINK("http://www.youtube.com/channel/UClGpecWoJmpcG9uBcKUUhnA")</f>
        <v>http://www.youtube.com/channel/UClGpecWoJmpcG9uBcKUUhnA</v>
      </c>
      <c r="U158" s="84"/>
      <c r="V158" s="84" t="s">
        <v>1481</v>
      </c>
      <c r="W158" s="90" t="str">
        <f>HYPERLINK("https://www.youtube.com/watch?v=grXXl_O02g8")</f>
        <v>https://www.youtube.com/watch?v=grXXl_O02g8</v>
      </c>
      <c r="X158" s="84" t="s">
        <v>1537</v>
      </c>
      <c r="Y158" s="84">
        <v>26</v>
      </c>
      <c r="Z158" s="84" t="s">
        <v>1623</v>
      </c>
      <c r="AA158" s="84" t="s">
        <v>1623</v>
      </c>
      <c r="AB158" s="84"/>
      <c r="AC158" s="84"/>
      <c r="AD158" s="88" t="s">
        <v>1874</v>
      </c>
      <c r="AE158" s="86">
        <v>1</v>
      </c>
      <c r="AF158" s="87" t="str">
        <f>REPLACE(INDEX(GroupVertices[Group],MATCH(Edges[[#This Row],[Vertex 1]],GroupVertices[Vertex],0)),1,1,"")</f>
        <v>3</v>
      </c>
      <c r="AG158" s="87" t="str">
        <f>REPLACE(INDEX(GroupVertices[Group],MATCH(Edges[[#This Row],[Vertex 2]],GroupVertices[Vertex],0)),1,1,"")</f>
        <v>3</v>
      </c>
      <c r="AH158" s="105"/>
      <c r="AI158" s="105"/>
      <c r="AJ158" s="105"/>
      <c r="AK158" s="105"/>
      <c r="AL158" s="105"/>
      <c r="AM158" s="105"/>
      <c r="AN158" s="105"/>
      <c r="AO158" s="105"/>
      <c r="AP158" s="105"/>
    </row>
    <row r="159" spans="1:42" ht="15">
      <c r="A159" s="61" t="s">
        <v>371</v>
      </c>
      <c r="B159" s="61" t="s">
        <v>642</v>
      </c>
      <c r="C159" s="62" t="s">
        <v>2891</v>
      </c>
      <c r="D159" s="63">
        <v>5</v>
      </c>
      <c r="E159" s="62"/>
      <c r="F159" s="65">
        <v>25</v>
      </c>
      <c r="G159" s="62"/>
      <c r="H159" s="66"/>
      <c r="I159" s="67"/>
      <c r="J159" s="67"/>
      <c r="K159" s="31" t="s">
        <v>65</v>
      </c>
      <c r="L159" s="68">
        <v>159</v>
      </c>
      <c r="M159" s="68"/>
      <c r="N159" s="69"/>
      <c r="O159" s="84" t="s">
        <v>653</v>
      </c>
      <c r="P159" s="84" t="s">
        <v>215</v>
      </c>
      <c r="Q159" s="88" t="s">
        <v>810</v>
      </c>
      <c r="R159" s="84" t="s">
        <v>371</v>
      </c>
      <c r="S159" s="84" t="s">
        <v>1209</v>
      </c>
      <c r="T159" s="90" t="str">
        <f>HYPERLINK("http://www.youtube.com/channel/UCXrQz4atK_NHL3_unEYsntg")</f>
        <v>http://www.youtube.com/channel/UCXrQz4atK_NHL3_unEYsntg</v>
      </c>
      <c r="U159" s="84"/>
      <c r="V159" s="84" t="s">
        <v>1481</v>
      </c>
      <c r="W159" s="90" t="str">
        <f>HYPERLINK("https://www.youtube.com/watch?v=grXXl_O02g8")</f>
        <v>https://www.youtube.com/watch?v=grXXl_O02g8</v>
      </c>
      <c r="X159" s="84" t="s">
        <v>1537</v>
      </c>
      <c r="Y159" s="84">
        <v>4</v>
      </c>
      <c r="Z159" s="93">
        <v>43477.102800925924</v>
      </c>
      <c r="AA159" s="93">
        <v>43477.102800925924</v>
      </c>
      <c r="AB159" s="84"/>
      <c r="AC159" s="84"/>
      <c r="AD159" s="88" t="s">
        <v>1874</v>
      </c>
      <c r="AE159" s="86">
        <v>1</v>
      </c>
      <c r="AF159" s="87" t="str">
        <f>REPLACE(INDEX(GroupVertices[Group],MATCH(Edges[[#This Row],[Vertex 1]],GroupVertices[Vertex],0)),1,1,"")</f>
        <v>3</v>
      </c>
      <c r="AG159" s="87" t="str">
        <f>REPLACE(INDEX(GroupVertices[Group],MATCH(Edges[[#This Row],[Vertex 2]],GroupVertices[Vertex],0)),1,1,"")</f>
        <v>3</v>
      </c>
      <c r="AH159" s="105"/>
      <c r="AI159" s="105"/>
      <c r="AJ159" s="105"/>
      <c r="AK159" s="105"/>
      <c r="AL159" s="105"/>
      <c r="AM159" s="105"/>
      <c r="AN159" s="105"/>
      <c r="AO159" s="105"/>
      <c r="AP159" s="105"/>
    </row>
    <row r="160" spans="1:42" ht="15">
      <c r="A160" s="61" t="s">
        <v>372</v>
      </c>
      <c r="B160" s="61" t="s">
        <v>642</v>
      </c>
      <c r="C160" s="62" t="s">
        <v>2891</v>
      </c>
      <c r="D160" s="63">
        <v>5</v>
      </c>
      <c r="E160" s="62"/>
      <c r="F160" s="65">
        <v>25</v>
      </c>
      <c r="G160" s="62"/>
      <c r="H160" s="66"/>
      <c r="I160" s="67"/>
      <c r="J160" s="67"/>
      <c r="K160" s="31" t="s">
        <v>65</v>
      </c>
      <c r="L160" s="68">
        <v>160</v>
      </c>
      <c r="M160" s="68"/>
      <c r="N160" s="69"/>
      <c r="O160" s="84" t="s">
        <v>653</v>
      </c>
      <c r="P160" s="84" t="s">
        <v>215</v>
      </c>
      <c r="Q160" s="88" t="s">
        <v>811</v>
      </c>
      <c r="R160" s="84" t="s">
        <v>372</v>
      </c>
      <c r="S160" s="84" t="s">
        <v>1210</v>
      </c>
      <c r="T160" s="90" t="str">
        <f>HYPERLINK("http://www.youtube.com/channel/UCV5q9jHkCWujPT_lJOzakoA")</f>
        <v>http://www.youtube.com/channel/UCV5q9jHkCWujPT_lJOzakoA</v>
      </c>
      <c r="U160" s="84"/>
      <c r="V160" s="84" t="s">
        <v>1481</v>
      </c>
      <c r="W160" s="90" t="str">
        <f>HYPERLINK("https://www.youtube.com/watch?v=grXXl_O02g8")</f>
        <v>https://www.youtube.com/watch?v=grXXl_O02g8</v>
      </c>
      <c r="X160" s="84" t="s">
        <v>1537</v>
      </c>
      <c r="Y160" s="84">
        <v>1</v>
      </c>
      <c r="Z160" s="84" t="s">
        <v>1624</v>
      </c>
      <c r="AA160" s="84" t="s">
        <v>1624</v>
      </c>
      <c r="AB160" s="84"/>
      <c r="AC160" s="84"/>
      <c r="AD160" s="88" t="s">
        <v>1874</v>
      </c>
      <c r="AE160" s="86">
        <v>1</v>
      </c>
      <c r="AF160" s="87" t="str">
        <f>REPLACE(INDEX(GroupVertices[Group],MATCH(Edges[[#This Row],[Vertex 1]],GroupVertices[Vertex],0)),1,1,"")</f>
        <v>3</v>
      </c>
      <c r="AG160" s="87" t="str">
        <f>REPLACE(INDEX(GroupVertices[Group],MATCH(Edges[[#This Row],[Vertex 2]],GroupVertices[Vertex],0)),1,1,"")</f>
        <v>3</v>
      </c>
      <c r="AH160" s="105"/>
      <c r="AI160" s="105"/>
      <c r="AJ160" s="105"/>
      <c r="AK160" s="105"/>
      <c r="AL160" s="105"/>
      <c r="AM160" s="105"/>
      <c r="AN160" s="105"/>
      <c r="AO160" s="105"/>
      <c r="AP160" s="105"/>
    </row>
    <row r="161" spans="1:42" ht="15">
      <c r="A161" s="61" t="s">
        <v>373</v>
      </c>
      <c r="B161" s="61" t="s">
        <v>642</v>
      </c>
      <c r="C161" s="62" t="s">
        <v>2891</v>
      </c>
      <c r="D161" s="63">
        <v>5</v>
      </c>
      <c r="E161" s="62"/>
      <c r="F161" s="65">
        <v>25</v>
      </c>
      <c r="G161" s="62"/>
      <c r="H161" s="66"/>
      <c r="I161" s="67"/>
      <c r="J161" s="67"/>
      <c r="K161" s="31" t="s">
        <v>65</v>
      </c>
      <c r="L161" s="68">
        <v>161</v>
      </c>
      <c r="M161" s="68"/>
      <c r="N161" s="69"/>
      <c r="O161" s="84" t="s">
        <v>653</v>
      </c>
      <c r="P161" s="84" t="s">
        <v>215</v>
      </c>
      <c r="Q161" s="88" t="s">
        <v>812</v>
      </c>
      <c r="R161" s="84" t="s">
        <v>373</v>
      </c>
      <c r="S161" s="84" t="s">
        <v>1211</v>
      </c>
      <c r="T161" s="90" t="str">
        <f>HYPERLINK("http://www.youtube.com/channel/UCuES1hL9IQLMyztR5mEU2wg")</f>
        <v>http://www.youtube.com/channel/UCuES1hL9IQLMyztR5mEU2wg</v>
      </c>
      <c r="U161" s="84"/>
      <c r="V161" s="84" t="s">
        <v>1481</v>
      </c>
      <c r="W161" s="90" t="str">
        <f>HYPERLINK("https://www.youtube.com/watch?v=grXXl_O02g8")</f>
        <v>https://www.youtube.com/watch?v=grXXl_O02g8</v>
      </c>
      <c r="X161" s="84" t="s">
        <v>1537</v>
      </c>
      <c r="Y161" s="84">
        <v>30</v>
      </c>
      <c r="Z161" s="93">
        <v>43955.19431712963</v>
      </c>
      <c r="AA161" s="93">
        <v>43955.19431712963</v>
      </c>
      <c r="AB161" s="84"/>
      <c r="AC161" s="84"/>
      <c r="AD161" s="88" t="s">
        <v>1874</v>
      </c>
      <c r="AE161" s="86">
        <v>1</v>
      </c>
      <c r="AF161" s="87" t="str">
        <f>REPLACE(INDEX(GroupVertices[Group],MATCH(Edges[[#This Row],[Vertex 1]],GroupVertices[Vertex],0)),1,1,"")</f>
        <v>3</v>
      </c>
      <c r="AG161" s="87" t="str">
        <f>REPLACE(INDEX(GroupVertices[Group],MATCH(Edges[[#This Row],[Vertex 2]],GroupVertices[Vertex],0)),1,1,"")</f>
        <v>3</v>
      </c>
      <c r="AH161" s="105"/>
      <c r="AI161" s="105"/>
      <c r="AJ161" s="105"/>
      <c r="AK161" s="105"/>
      <c r="AL161" s="105"/>
      <c r="AM161" s="105"/>
      <c r="AN161" s="105"/>
      <c r="AO161" s="105"/>
      <c r="AP161" s="105"/>
    </row>
    <row r="162" spans="1:42" ht="15">
      <c r="A162" s="61" t="s">
        <v>374</v>
      </c>
      <c r="B162" s="61" t="s">
        <v>642</v>
      </c>
      <c r="C162" s="62" t="s">
        <v>2891</v>
      </c>
      <c r="D162" s="63">
        <v>5</v>
      </c>
      <c r="E162" s="62"/>
      <c r="F162" s="65">
        <v>25</v>
      </c>
      <c r="G162" s="62"/>
      <c r="H162" s="66"/>
      <c r="I162" s="67"/>
      <c r="J162" s="67"/>
      <c r="K162" s="31" t="s">
        <v>65</v>
      </c>
      <c r="L162" s="68">
        <v>162</v>
      </c>
      <c r="M162" s="68"/>
      <c r="N162" s="69"/>
      <c r="O162" s="84" t="s">
        <v>653</v>
      </c>
      <c r="P162" s="84" t="s">
        <v>215</v>
      </c>
      <c r="Q162" s="88" t="s">
        <v>813</v>
      </c>
      <c r="R162" s="84" t="s">
        <v>374</v>
      </c>
      <c r="S162" s="84" t="s">
        <v>1212</v>
      </c>
      <c r="T162" s="90" t="str">
        <f>HYPERLINK("http://www.youtube.com/channel/UCixLnYa4n6LmG8-vSAmAOog")</f>
        <v>http://www.youtube.com/channel/UCixLnYa4n6LmG8-vSAmAOog</v>
      </c>
      <c r="U162" s="84"/>
      <c r="V162" s="84" t="s">
        <v>1481</v>
      </c>
      <c r="W162" s="90" t="str">
        <f>HYPERLINK("https://www.youtube.com/watch?v=grXXl_O02g8")</f>
        <v>https://www.youtube.com/watch?v=grXXl_O02g8</v>
      </c>
      <c r="X162" s="84" t="s">
        <v>1537</v>
      </c>
      <c r="Y162" s="84">
        <v>0</v>
      </c>
      <c r="Z162" s="93">
        <v>44109.045810185184</v>
      </c>
      <c r="AA162" s="93">
        <v>44109.045810185184</v>
      </c>
      <c r="AB162" s="84"/>
      <c r="AC162" s="84"/>
      <c r="AD162" s="88" t="s">
        <v>1874</v>
      </c>
      <c r="AE162" s="86">
        <v>1</v>
      </c>
      <c r="AF162" s="87" t="str">
        <f>REPLACE(INDEX(GroupVertices[Group],MATCH(Edges[[#This Row],[Vertex 1]],GroupVertices[Vertex],0)),1,1,"")</f>
        <v>3</v>
      </c>
      <c r="AG162" s="87" t="str">
        <f>REPLACE(INDEX(GroupVertices[Group],MATCH(Edges[[#This Row],[Vertex 2]],GroupVertices[Vertex],0)),1,1,"")</f>
        <v>3</v>
      </c>
      <c r="AH162" s="105"/>
      <c r="AI162" s="105"/>
      <c r="AJ162" s="105"/>
      <c r="AK162" s="105"/>
      <c r="AL162" s="105"/>
      <c r="AM162" s="105"/>
      <c r="AN162" s="105"/>
      <c r="AO162" s="105"/>
      <c r="AP162" s="105"/>
    </row>
    <row r="163" spans="1:42" ht="15">
      <c r="A163" s="61" t="s">
        <v>375</v>
      </c>
      <c r="B163" s="61" t="s">
        <v>642</v>
      </c>
      <c r="C163" s="62" t="s">
        <v>2891</v>
      </c>
      <c r="D163" s="63">
        <v>5</v>
      </c>
      <c r="E163" s="62"/>
      <c r="F163" s="65">
        <v>25</v>
      </c>
      <c r="G163" s="62"/>
      <c r="H163" s="66"/>
      <c r="I163" s="67"/>
      <c r="J163" s="67"/>
      <c r="K163" s="31" t="s">
        <v>65</v>
      </c>
      <c r="L163" s="68">
        <v>163</v>
      </c>
      <c r="M163" s="68"/>
      <c r="N163" s="69"/>
      <c r="O163" s="84" t="s">
        <v>653</v>
      </c>
      <c r="P163" s="84" t="s">
        <v>215</v>
      </c>
      <c r="Q163" s="88" t="s">
        <v>814</v>
      </c>
      <c r="R163" s="84" t="s">
        <v>375</v>
      </c>
      <c r="S163" s="84" t="s">
        <v>1213</v>
      </c>
      <c r="T163" s="90" t="str">
        <f>HYPERLINK("http://www.youtube.com/channel/UCEufnY_SkNkztDUVI27j9CQ")</f>
        <v>http://www.youtube.com/channel/UCEufnY_SkNkztDUVI27j9CQ</v>
      </c>
      <c r="U163" s="84"/>
      <c r="V163" s="84" t="s">
        <v>1481</v>
      </c>
      <c r="W163" s="90" t="str">
        <f>HYPERLINK("https://www.youtube.com/watch?v=grXXl_O02g8")</f>
        <v>https://www.youtube.com/watch?v=grXXl_O02g8</v>
      </c>
      <c r="X163" s="84" t="s">
        <v>1537</v>
      </c>
      <c r="Y163" s="84">
        <v>13</v>
      </c>
      <c r="Z163" s="84" t="s">
        <v>1625</v>
      </c>
      <c r="AA163" s="84" t="s">
        <v>1625</v>
      </c>
      <c r="AB163" s="84"/>
      <c r="AC163" s="84"/>
      <c r="AD163" s="88" t="s">
        <v>1874</v>
      </c>
      <c r="AE163" s="86">
        <v>1</v>
      </c>
      <c r="AF163" s="87" t="str">
        <f>REPLACE(INDEX(GroupVertices[Group],MATCH(Edges[[#This Row],[Vertex 1]],GroupVertices[Vertex],0)),1,1,"")</f>
        <v>3</v>
      </c>
      <c r="AG163" s="87" t="str">
        <f>REPLACE(INDEX(GroupVertices[Group],MATCH(Edges[[#This Row],[Vertex 2]],GroupVertices[Vertex],0)),1,1,"")</f>
        <v>3</v>
      </c>
      <c r="AH163" s="105"/>
      <c r="AI163" s="105"/>
      <c r="AJ163" s="105"/>
      <c r="AK163" s="105"/>
      <c r="AL163" s="105"/>
      <c r="AM163" s="105"/>
      <c r="AN163" s="105"/>
      <c r="AO163" s="105"/>
      <c r="AP163" s="105"/>
    </row>
    <row r="164" spans="1:42" ht="15">
      <c r="A164" s="61" t="s">
        <v>376</v>
      </c>
      <c r="B164" s="61" t="s">
        <v>642</v>
      </c>
      <c r="C164" s="62" t="s">
        <v>2891</v>
      </c>
      <c r="D164" s="63">
        <v>5</v>
      </c>
      <c r="E164" s="62"/>
      <c r="F164" s="65">
        <v>25</v>
      </c>
      <c r="G164" s="62"/>
      <c r="H164" s="66"/>
      <c r="I164" s="67"/>
      <c r="J164" s="67"/>
      <c r="K164" s="31" t="s">
        <v>65</v>
      </c>
      <c r="L164" s="68">
        <v>164</v>
      </c>
      <c r="M164" s="68"/>
      <c r="N164" s="69"/>
      <c r="O164" s="84" t="s">
        <v>653</v>
      </c>
      <c r="P164" s="84" t="s">
        <v>215</v>
      </c>
      <c r="Q164" s="88" t="s">
        <v>815</v>
      </c>
      <c r="R164" s="84" t="s">
        <v>376</v>
      </c>
      <c r="S164" s="84" t="s">
        <v>1214</v>
      </c>
      <c r="T164" s="90" t="str">
        <f>HYPERLINK("http://www.youtube.com/channel/UCwGT79milQt4vkImMJjKaKg")</f>
        <v>http://www.youtube.com/channel/UCwGT79milQt4vkImMJjKaKg</v>
      </c>
      <c r="U164" s="84"/>
      <c r="V164" s="84" t="s">
        <v>1481</v>
      </c>
      <c r="W164" s="90" t="str">
        <f>HYPERLINK("https://www.youtube.com/watch?v=grXXl_O02g8")</f>
        <v>https://www.youtube.com/watch?v=grXXl_O02g8</v>
      </c>
      <c r="X164" s="84" t="s">
        <v>1537</v>
      </c>
      <c r="Y164" s="84">
        <v>12</v>
      </c>
      <c r="Z164" s="84" t="s">
        <v>1626</v>
      </c>
      <c r="AA164" s="84" t="s">
        <v>1626</v>
      </c>
      <c r="AB164" s="84"/>
      <c r="AC164" s="84"/>
      <c r="AD164" s="88" t="s">
        <v>1874</v>
      </c>
      <c r="AE164" s="86">
        <v>1</v>
      </c>
      <c r="AF164" s="87" t="str">
        <f>REPLACE(INDEX(GroupVertices[Group],MATCH(Edges[[#This Row],[Vertex 1]],GroupVertices[Vertex],0)),1,1,"")</f>
        <v>3</v>
      </c>
      <c r="AG164" s="87" t="str">
        <f>REPLACE(INDEX(GroupVertices[Group],MATCH(Edges[[#This Row],[Vertex 2]],GroupVertices[Vertex],0)),1,1,"")</f>
        <v>3</v>
      </c>
      <c r="AH164" s="105"/>
      <c r="AI164" s="105"/>
      <c r="AJ164" s="105"/>
      <c r="AK164" s="105"/>
      <c r="AL164" s="105"/>
      <c r="AM164" s="105"/>
      <c r="AN164" s="105"/>
      <c r="AO164" s="105"/>
      <c r="AP164" s="105"/>
    </row>
    <row r="165" spans="1:42" ht="15">
      <c r="A165" s="61" t="s">
        <v>377</v>
      </c>
      <c r="B165" s="61" t="s">
        <v>642</v>
      </c>
      <c r="C165" s="62" t="s">
        <v>2891</v>
      </c>
      <c r="D165" s="63">
        <v>5</v>
      </c>
      <c r="E165" s="62"/>
      <c r="F165" s="65">
        <v>25</v>
      </c>
      <c r="G165" s="62"/>
      <c r="H165" s="66"/>
      <c r="I165" s="67"/>
      <c r="J165" s="67"/>
      <c r="K165" s="31" t="s">
        <v>65</v>
      </c>
      <c r="L165" s="68">
        <v>165</v>
      </c>
      <c r="M165" s="68"/>
      <c r="N165" s="69"/>
      <c r="O165" s="84" t="s">
        <v>653</v>
      </c>
      <c r="P165" s="84" t="s">
        <v>215</v>
      </c>
      <c r="Q165" s="88" t="s">
        <v>816</v>
      </c>
      <c r="R165" s="84" t="s">
        <v>377</v>
      </c>
      <c r="S165" s="84" t="s">
        <v>1215</v>
      </c>
      <c r="T165" s="90" t="str">
        <f>HYPERLINK("http://www.youtube.com/channel/UCBZ-5muILT0Ok8LL8PDb0jQ")</f>
        <v>http://www.youtube.com/channel/UCBZ-5muILT0Ok8LL8PDb0jQ</v>
      </c>
      <c r="U165" s="84"/>
      <c r="V165" s="84" t="s">
        <v>1481</v>
      </c>
      <c r="W165" s="90" t="str">
        <f>HYPERLINK("https://www.youtube.com/watch?v=grXXl_O02g8")</f>
        <v>https://www.youtube.com/watch?v=grXXl_O02g8</v>
      </c>
      <c r="X165" s="84" t="s">
        <v>1537</v>
      </c>
      <c r="Y165" s="84">
        <v>10</v>
      </c>
      <c r="Z165" s="84" t="s">
        <v>1627</v>
      </c>
      <c r="AA165" s="84" t="s">
        <v>1627</v>
      </c>
      <c r="AB165" s="84"/>
      <c r="AC165" s="84"/>
      <c r="AD165" s="88" t="s">
        <v>1874</v>
      </c>
      <c r="AE165" s="86">
        <v>1</v>
      </c>
      <c r="AF165" s="87" t="str">
        <f>REPLACE(INDEX(GroupVertices[Group],MATCH(Edges[[#This Row],[Vertex 1]],GroupVertices[Vertex],0)),1,1,"")</f>
        <v>3</v>
      </c>
      <c r="AG165" s="87" t="str">
        <f>REPLACE(INDEX(GroupVertices[Group],MATCH(Edges[[#This Row],[Vertex 2]],GroupVertices[Vertex],0)),1,1,"")</f>
        <v>3</v>
      </c>
      <c r="AH165" s="105"/>
      <c r="AI165" s="105"/>
      <c r="AJ165" s="105"/>
      <c r="AK165" s="105"/>
      <c r="AL165" s="105"/>
      <c r="AM165" s="105"/>
      <c r="AN165" s="105"/>
      <c r="AO165" s="105"/>
      <c r="AP165" s="105"/>
    </row>
    <row r="166" spans="1:42" ht="15">
      <c r="A166" s="61" t="s">
        <v>378</v>
      </c>
      <c r="B166" s="61" t="s">
        <v>642</v>
      </c>
      <c r="C166" s="62" t="s">
        <v>2891</v>
      </c>
      <c r="D166" s="63">
        <v>5</v>
      </c>
      <c r="E166" s="62"/>
      <c r="F166" s="65">
        <v>25</v>
      </c>
      <c r="G166" s="62"/>
      <c r="H166" s="66"/>
      <c r="I166" s="67"/>
      <c r="J166" s="67"/>
      <c r="K166" s="31" t="s">
        <v>65</v>
      </c>
      <c r="L166" s="68">
        <v>166</v>
      </c>
      <c r="M166" s="68"/>
      <c r="N166" s="69"/>
      <c r="O166" s="84" t="s">
        <v>653</v>
      </c>
      <c r="P166" s="84" t="s">
        <v>215</v>
      </c>
      <c r="Q166" s="88" t="s">
        <v>817</v>
      </c>
      <c r="R166" s="84" t="s">
        <v>378</v>
      </c>
      <c r="S166" s="84" t="s">
        <v>1216</v>
      </c>
      <c r="T166" s="90" t="str">
        <f>HYPERLINK("http://www.youtube.com/channel/UCN7FBhlVPEavc63LoZS75_g")</f>
        <v>http://www.youtube.com/channel/UCN7FBhlVPEavc63LoZS75_g</v>
      </c>
      <c r="U166" s="84"/>
      <c r="V166" s="84" t="s">
        <v>1481</v>
      </c>
      <c r="W166" s="90" t="str">
        <f>HYPERLINK("https://www.youtube.com/watch?v=grXXl_O02g8")</f>
        <v>https://www.youtube.com/watch?v=grXXl_O02g8</v>
      </c>
      <c r="X166" s="84" t="s">
        <v>1537</v>
      </c>
      <c r="Y166" s="84">
        <v>0</v>
      </c>
      <c r="Z166" s="84" t="s">
        <v>1628</v>
      </c>
      <c r="AA166" s="84" t="s">
        <v>1628</v>
      </c>
      <c r="AB166" s="84"/>
      <c r="AC166" s="84"/>
      <c r="AD166" s="88" t="s">
        <v>1874</v>
      </c>
      <c r="AE166" s="86">
        <v>1</v>
      </c>
      <c r="AF166" s="87" t="str">
        <f>REPLACE(INDEX(GroupVertices[Group],MATCH(Edges[[#This Row],[Vertex 1]],GroupVertices[Vertex],0)),1,1,"")</f>
        <v>3</v>
      </c>
      <c r="AG166" s="87" t="str">
        <f>REPLACE(INDEX(GroupVertices[Group],MATCH(Edges[[#This Row],[Vertex 2]],GroupVertices[Vertex],0)),1,1,"")</f>
        <v>3</v>
      </c>
      <c r="AH166" s="105"/>
      <c r="AI166" s="105"/>
      <c r="AJ166" s="105"/>
      <c r="AK166" s="105"/>
      <c r="AL166" s="105"/>
      <c r="AM166" s="105"/>
      <c r="AN166" s="105"/>
      <c r="AO166" s="105"/>
      <c r="AP166" s="105"/>
    </row>
    <row r="167" spans="1:42" ht="15">
      <c r="A167" s="61" t="s">
        <v>379</v>
      </c>
      <c r="B167" s="61" t="s">
        <v>642</v>
      </c>
      <c r="C167" s="62" t="s">
        <v>2891</v>
      </c>
      <c r="D167" s="63">
        <v>5</v>
      </c>
      <c r="E167" s="62"/>
      <c r="F167" s="65">
        <v>25</v>
      </c>
      <c r="G167" s="62"/>
      <c r="H167" s="66"/>
      <c r="I167" s="67"/>
      <c r="J167" s="67"/>
      <c r="K167" s="31" t="s">
        <v>65</v>
      </c>
      <c r="L167" s="68">
        <v>167</v>
      </c>
      <c r="M167" s="68"/>
      <c r="N167" s="69"/>
      <c r="O167" s="84" t="s">
        <v>653</v>
      </c>
      <c r="P167" s="84" t="s">
        <v>215</v>
      </c>
      <c r="Q167" s="88" t="s">
        <v>818</v>
      </c>
      <c r="R167" s="84" t="s">
        <v>379</v>
      </c>
      <c r="S167" s="84" t="s">
        <v>1217</v>
      </c>
      <c r="T167" s="90" t="str">
        <f>HYPERLINK("http://www.youtube.com/channel/UCQ9n58IF50mO518MQunnXtQ")</f>
        <v>http://www.youtube.com/channel/UCQ9n58IF50mO518MQunnXtQ</v>
      </c>
      <c r="U167" s="84"/>
      <c r="V167" s="84" t="s">
        <v>1481</v>
      </c>
      <c r="W167" s="90" t="str">
        <f>HYPERLINK("https://www.youtube.com/watch?v=grXXl_O02g8")</f>
        <v>https://www.youtube.com/watch?v=grXXl_O02g8</v>
      </c>
      <c r="X167" s="84" t="s">
        <v>1537</v>
      </c>
      <c r="Y167" s="84">
        <v>0</v>
      </c>
      <c r="Z167" s="93">
        <v>44537.85650462963</v>
      </c>
      <c r="AA167" s="93">
        <v>44537.85650462963</v>
      </c>
      <c r="AB167" s="84"/>
      <c r="AC167" s="84"/>
      <c r="AD167" s="88" t="s">
        <v>1874</v>
      </c>
      <c r="AE167" s="86">
        <v>1</v>
      </c>
      <c r="AF167" s="87" t="str">
        <f>REPLACE(INDEX(GroupVertices[Group],MATCH(Edges[[#This Row],[Vertex 1]],GroupVertices[Vertex],0)),1,1,"")</f>
        <v>3</v>
      </c>
      <c r="AG167" s="87" t="str">
        <f>REPLACE(INDEX(GroupVertices[Group],MATCH(Edges[[#This Row],[Vertex 2]],GroupVertices[Vertex],0)),1,1,"")</f>
        <v>3</v>
      </c>
      <c r="AH167" s="105"/>
      <c r="AI167" s="105"/>
      <c r="AJ167" s="105"/>
      <c r="AK167" s="105"/>
      <c r="AL167" s="105"/>
      <c r="AM167" s="105"/>
      <c r="AN167" s="105"/>
      <c r="AO167" s="105"/>
      <c r="AP167" s="105"/>
    </row>
    <row r="168" spans="1:42" ht="15">
      <c r="A168" s="61" t="s">
        <v>380</v>
      </c>
      <c r="B168" s="61" t="s">
        <v>642</v>
      </c>
      <c r="C168" s="62" t="s">
        <v>2891</v>
      </c>
      <c r="D168" s="63">
        <v>5</v>
      </c>
      <c r="E168" s="62"/>
      <c r="F168" s="65">
        <v>25</v>
      </c>
      <c r="G168" s="62"/>
      <c r="H168" s="66"/>
      <c r="I168" s="67"/>
      <c r="J168" s="67"/>
      <c r="K168" s="31" t="s">
        <v>65</v>
      </c>
      <c r="L168" s="68">
        <v>168</v>
      </c>
      <c r="M168" s="68"/>
      <c r="N168" s="69"/>
      <c r="O168" s="84" t="s">
        <v>653</v>
      </c>
      <c r="P168" s="84" t="s">
        <v>215</v>
      </c>
      <c r="Q168" s="88" t="s">
        <v>819</v>
      </c>
      <c r="R168" s="84" t="s">
        <v>380</v>
      </c>
      <c r="S168" s="84" t="s">
        <v>1218</v>
      </c>
      <c r="T168" s="90" t="str">
        <f>HYPERLINK("http://www.youtube.com/channel/UCvTmukWsgcWGZt5iy-eicHQ")</f>
        <v>http://www.youtube.com/channel/UCvTmukWsgcWGZt5iy-eicHQ</v>
      </c>
      <c r="U168" s="84"/>
      <c r="V168" s="84" t="s">
        <v>1481</v>
      </c>
      <c r="W168" s="90" t="str">
        <f>HYPERLINK("https://www.youtube.com/watch?v=grXXl_O02g8")</f>
        <v>https://www.youtube.com/watch?v=grXXl_O02g8</v>
      </c>
      <c r="X168" s="84" t="s">
        <v>1537</v>
      </c>
      <c r="Y168" s="84">
        <v>0</v>
      </c>
      <c r="Z168" s="84" t="s">
        <v>1629</v>
      </c>
      <c r="AA168" s="84" t="s">
        <v>1629</v>
      </c>
      <c r="AB168" s="84"/>
      <c r="AC168" s="84"/>
      <c r="AD168" s="88" t="s">
        <v>1874</v>
      </c>
      <c r="AE168" s="86">
        <v>1</v>
      </c>
      <c r="AF168" s="87" t="str">
        <f>REPLACE(INDEX(GroupVertices[Group],MATCH(Edges[[#This Row],[Vertex 1]],GroupVertices[Vertex],0)),1,1,"")</f>
        <v>3</v>
      </c>
      <c r="AG168" s="87" t="str">
        <f>REPLACE(INDEX(GroupVertices[Group],MATCH(Edges[[#This Row],[Vertex 2]],GroupVertices[Vertex],0)),1,1,"")</f>
        <v>3</v>
      </c>
      <c r="AH168" s="105"/>
      <c r="AI168" s="105"/>
      <c r="AJ168" s="105"/>
      <c r="AK168" s="105"/>
      <c r="AL168" s="105"/>
      <c r="AM168" s="105"/>
      <c r="AN168" s="105"/>
      <c r="AO168" s="105"/>
      <c r="AP168" s="105"/>
    </row>
    <row r="169" spans="1:42" ht="15">
      <c r="A169" s="61" t="s">
        <v>381</v>
      </c>
      <c r="B169" s="61" t="s">
        <v>642</v>
      </c>
      <c r="C169" s="62" t="s">
        <v>2891</v>
      </c>
      <c r="D169" s="63">
        <v>5</v>
      </c>
      <c r="E169" s="62"/>
      <c r="F169" s="65">
        <v>25</v>
      </c>
      <c r="G169" s="62"/>
      <c r="H169" s="66"/>
      <c r="I169" s="67"/>
      <c r="J169" s="67"/>
      <c r="K169" s="31" t="s">
        <v>65</v>
      </c>
      <c r="L169" s="68">
        <v>169</v>
      </c>
      <c r="M169" s="68"/>
      <c r="N169" s="69"/>
      <c r="O169" s="84" t="s">
        <v>653</v>
      </c>
      <c r="P169" s="84" t="s">
        <v>215</v>
      </c>
      <c r="Q169" s="88" t="s">
        <v>820</v>
      </c>
      <c r="R169" s="84" t="s">
        <v>381</v>
      </c>
      <c r="S169" s="84" t="s">
        <v>1219</v>
      </c>
      <c r="T169" s="90" t="str">
        <f>HYPERLINK("http://www.youtube.com/channel/UCeoYlyodM1H74T0kBzl6oXw")</f>
        <v>http://www.youtube.com/channel/UCeoYlyodM1H74T0kBzl6oXw</v>
      </c>
      <c r="U169" s="84"/>
      <c r="V169" s="84" t="s">
        <v>1481</v>
      </c>
      <c r="W169" s="90" t="str">
        <f>HYPERLINK("https://www.youtube.com/watch?v=grXXl_O02g8")</f>
        <v>https://www.youtube.com/watch?v=grXXl_O02g8</v>
      </c>
      <c r="X169" s="84" t="s">
        <v>1537</v>
      </c>
      <c r="Y169" s="84">
        <v>1</v>
      </c>
      <c r="Z169" s="84" t="s">
        <v>1630</v>
      </c>
      <c r="AA169" s="84" t="s">
        <v>1630</v>
      </c>
      <c r="AB169" s="84"/>
      <c r="AC169" s="84"/>
      <c r="AD169" s="88" t="s">
        <v>1874</v>
      </c>
      <c r="AE169" s="86">
        <v>1</v>
      </c>
      <c r="AF169" s="87" t="str">
        <f>REPLACE(INDEX(GroupVertices[Group],MATCH(Edges[[#This Row],[Vertex 1]],GroupVertices[Vertex],0)),1,1,"")</f>
        <v>3</v>
      </c>
      <c r="AG169" s="87" t="str">
        <f>REPLACE(INDEX(GroupVertices[Group],MATCH(Edges[[#This Row],[Vertex 2]],GroupVertices[Vertex],0)),1,1,"")</f>
        <v>3</v>
      </c>
      <c r="AH169" s="105"/>
      <c r="AI169" s="105"/>
      <c r="AJ169" s="105"/>
      <c r="AK169" s="105"/>
      <c r="AL169" s="105"/>
      <c r="AM169" s="105"/>
      <c r="AN169" s="105"/>
      <c r="AO169" s="105"/>
      <c r="AP169" s="105"/>
    </row>
    <row r="170" spans="1:42" ht="15">
      <c r="A170" s="61" t="s">
        <v>382</v>
      </c>
      <c r="B170" s="61" t="s">
        <v>642</v>
      </c>
      <c r="C170" s="62" t="s">
        <v>2891</v>
      </c>
      <c r="D170" s="63">
        <v>5</v>
      </c>
      <c r="E170" s="62"/>
      <c r="F170" s="65">
        <v>25</v>
      </c>
      <c r="G170" s="62"/>
      <c r="H170" s="66"/>
      <c r="I170" s="67"/>
      <c r="J170" s="67"/>
      <c r="K170" s="31" t="s">
        <v>65</v>
      </c>
      <c r="L170" s="68">
        <v>170</v>
      </c>
      <c r="M170" s="68"/>
      <c r="N170" s="69"/>
      <c r="O170" s="84" t="s">
        <v>653</v>
      </c>
      <c r="P170" s="84" t="s">
        <v>215</v>
      </c>
      <c r="Q170" s="88" t="s">
        <v>821</v>
      </c>
      <c r="R170" s="84" t="s">
        <v>382</v>
      </c>
      <c r="S170" s="84" t="s">
        <v>1220</v>
      </c>
      <c r="T170" s="90" t="str">
        <f>HYPERLINK("http://www.youtube.com/channel/UCdP37gap51bObyiHECeen1Q")</f>
        <v>http://www.youtube.com/channel/UCdP37gap51bObyiHECeen1Q</v>
      </c>
      <c r="U170" s="84"/>
      <c r="V170" s="84" t="s">
        <v>1481</v>
      </c>
      <c r="W170" s="90" t="str">
        <f>HYPERLINK("https://www.youtube.com/watch?v=grXXl_O02g8")</f>
        <v>https://www.youtube.com/watch?v=grXXl_O02g8</v>
      </c>
      <c r="X170" s="84" t="s">
        <v>1537</v>
      </c>
      <c r="Y170" s="84">
        <v>0</v>
      </c>
      <c r="Z170" s="84" t="s">
        <v>1631</v>
      </c>
      <c r="AA170" s="84" t="s">
        <v>1631</v>
      </c>
      <c r="AB170" s="84"/>
      <c r="AC170" s="84"/>
      <c r="AD170" s="88" t="s">
        <v>1874</v>
      </c>
      <c r="AE170" s="86">
        <v>1</v>
      </c>
      <c r="AF170" s="87" t="str">
        <f>REPLACE(INDEX(GroupVertices[Group],MATCH(Edges[[#This Row],[Vertex 1]],GroupVertices[Vertex],0)),1,1,"")</f>
        <v>3</v>
      </c>
      <c r="AG170" s="87" t="str">
        <f>REPLACE(INDEX(GroupVertices[Group],MATCH(Edges[[#This Row],[Vertex 2]],GroupVertices[Vertex],0)),1,1,"")</f>
        <v>3</v>
      </c>
      <c r="AH170" s="105"/>
      <c r="AI170" s="105"/>
      <c r="AJ170" s="105"/>
      <c r="AK170" s="105"/>
      <c r="AL170" s="105"/>
      <c r="AM170" s="105"/>
      <c r="AN170" s="105"/>
      <c r="AO170" s="105"/>
      <c r="AP170" s="105"/>
    </row>
    <row r="171" spans="1:42" ht="15">
      <c r="A171" s="61" t="s">
        <v>383</v>
      </c>
      <c r="B171" s="61" t="s">
        <v>642</v>
      </c>
      <c r="C171" s="62" t="s">
        <v>2891</v>
      </c>
      <c r="D171" s="63">
        <v>5</v>
      </c>
      <c r="E171" s="62"/>
      <c r="F171" s="65">
        <v>25</v>
      </c>
      <c r="G171" s="62"/>
      <c r="H171" s="66"/>
      <c r="I171" s="67"/>
      <c r="J171" s="67"/>
      <c r="K171" s="31" t="s">
        <v>65</v>
      </c>
      <c r="L171" s="68">
        <v>171</v>
      </c>
      <c r="M171" s="68"/>
      <c r="N171" s="69"/>
      <c r="O171" s="84" t="s">
        <v>653</v>
      </c>
      <c r="P171" s="84" t="s">
        <v>215</v>
      </c>
      <c r="Q171" s="88" t="s">
        <v>822</v>
      </c>
      <c r="R171" s="84" t="s">
        <v>383</v>
      </c>
      <c r="S171" s="84" t="s">
        <v>1221</v>
      </c>
      <c r="T171" s="90" t="str">
        <f>HYPERLINK("http://www.youtube.com/channel/UCOOS_hqq0eVtTWc0FsyjCrA")</f>
        <v>http://www.youtube.com/channel/UCOOS_hqq0eVtTWc0FsyjCrA</v>
      </c>
      <c r="U171" s="84"/>
      <c r="V171" s="84" t="s">
        <v>1481</v>
      </c>
      <c r="W171" s="90" t="str">
        <f>HYPERLINK("https://www.youtube.com/watch?v=grXXl_O02g8")</f>
        <v>https://www.youtube.com/watch?v=grXXl_O02g8</v>
      </c>
      <c r="X171" s="84" t="s">
        <v>1537</v>
      </c>
      <c r="Y171" s="84">
        <v>0</v>
      </c>
      <c r="Z171" s="93">
        <v>44932.75950231482</v>
      </c>
      <c r="AA171" s="93">
        <v>44932.75950231482</v>
      </c>
      <c r="AB171" s="84"/>
      <c r="AC171" s="84"/>
      <c r="AD171" s="88" t="s">
        <v>1874</v>
      </c>
      <c r="AE171" s="86">
        <v>1</v>
      </c>
      <c r="AF171" s="87" t="str">
        <f>REPLACE(INDEX(GroupVertices[Group],MATCH(Edges[[#This Row],[Vertex 1]],GroupVertices[Vertex],0)),1,1,"")</f>
        <v>3</v>
      </c>
      <c r="AG171" s="87" t="str">
        <f>REPLACE(INDEX(GroupVertices[Group],MATCH(Edges[[#This Row],[Vertex 2]],GroupVertices[Vertex],0)),1,1,"")</f>
        <v>3</v>
      </c>
      <c r="AH171" s="105"/>
      <c r="AI171" s="105"/>
      <c r="AJ171" s="105"/>
      <c r="AK171" s="105"/>
      <c r="AL171" s="105"/>
      <c r="AM171" s="105"/>
      <c r="AN171" s="105"/>
      <c r="AO171" s="105"/>
      <c r="AP171" s="105"/>
    </row>
    <row r="172" spans="1:42" ht="15">
      <c r="A172" s="61" t="s">
        <v>384</v>
      </c>
      <c r="B172" s="61" t="s">
        <v>645</v>
      </c>
      <c r="C172" s="62" t="s">
        <v>2892</v>
      </c>
      <c r="D172" s="63">
        <v>6.666666666666667</v>
      </c>
      <c r="E172" s="62"/>
      <c r="F172" s="65">
        <v>15</v>
      </c>
      <c r="G172" s="62"/>
      <c r="H172" s="66"/>
      <c r="I172" s="67"/>
      <c r="J172" s="67"/>
      <c r="K172" s="31" t="s">
        <v>65</v>
      </c>
      <c r="L172" s="68">
        <v>172</v>
      </c>
      <c r="M172" s="68"/>
      <c r="N172" s="69"/>
      <c r="O172" s="84" t="s">
        <v>653</v>
      </c>
      <c r="P172" s="84" t="s">
        <v>215</v>
      </c>
      <c r="Q172" s="88" t="s">
        <v>823</v>
      </c>
      <c r="R172" s="84" t="s">
        <v>384</v>
      </c>
      <c r="S172" s="84" t="s">
        <v>1222</v>
      </c>
      <c r="T172" s="90" t="str">
        <f>HYPERLINK("http://www.youtube.com/channel/UCYMRmke8t4Dkym-3zI_yqjg")</f>
        <v>http://www.youtube.com/channel/UCYMRmke8t4Dkym-3zI_yqjg</v>
      </c>
      <c r="U172" s="84"/>
      <c r="V172" s="84" t="s">
        <v>1482</v>
      </c>
      <c r="W172" s="90" t="str">
        <f>HYPERLINK("https://www.youtube.com/watch?v=4aS_seNXq2s")</f>
        <v>https://www.youtube.com/watch?v=4aS_seNXq2s</v>
      </c>
      <c r="X172" s="84" t="s">
        <v>1537</v>
      </c>
      <c r="Y172" s="84">
        <v>1</v>
      </c>
      <c r="Z172" s="84" t="s">
        <v>1632</v>
      </c>
      <c r="AA172" s="84" t="s">
        <v>1632</v>
      </c>
      <c r="AB172" s="84"/>
      <c r="AC172" s="84"/>
      <c r="AD172" s="88" t="s">
        <v>1874</v>
      </c>
      <c r="AE172" s="86">
        <v>3</v>
      </c>
      <c r="AF172" s="87" t="str">
        <f>REPLACE(INDEX(GroupVertices[Group],MATCH(Edges[[#This Row],[Vertex 1]],GroupVertices[Vertex],0)),1,1,"")</f>
        <v>20</v>
      </c>
      <c r="AG172" s="87" t="str">
        <f>REPLACE(INDEX(GroupVertices[Group],MATCH(Edges[[#This Row],[Vertex 2]],GroupVertices[Vertex],0)),1,1,"")</f>
        <v>20</v>
      </c>
      <c r="AH172" s="105"/>
      <c r="AI172" s="105"/>
      <c r="AJ172" s="105"/>
      <c r="AK172" s="105"/>
      <c r="AL172" s="105"/>
      <c r="AM172" s="105"/>
      <c r="AN172" s="105"/>
      <c r="AO172" s="105"/>
      <c r="AP172" s="105"/>
    </row>
    <row r="173" spans="1:42" ht="15">
      <c r="A173" s="61" t="s">
        <v>384</v>
      </c>
      <c r="B173" s="61" t="s">
        <v>645</v>
      </c>
      <c r="C173" s="62" t="s">
        <v>2892</v>
      </c>
      <c r="D173" s="63">
        <v>6.666666666666667</v>
      </c>
      <c r="E173" s="62"/>
      <c r="F173" s="65">
        <v>15</v>
      </c>
      <c r="G173" s="62"/>
      <c r="H173" s="66"/>
      <c r="I173" s="67"/>
      <c r="J173" s="67"/>
      <c r="K173" s="31" t="s">
        <v>65</v>
      </c>
      <c r="L173" s="68">
        <v>173</v>
      </c>
      <c r="M173" s="68"/>
      <c r="N173" s="69"/>
      <c r="O173" s="84" t="s">
        <v>653</v>
      </c>
      <c r="P173" s="84" t="s">
        <v>215</v>
      </c>
      <c r="Q173" s="88" t="s">
        <v>824</v>
      </c>
      <c r="R173" s="84" t="s">
        <v>384</v>
      </c>
      <c r="S173" s="84" t="s">
        <v>1222</v>
      </c>
      <c r="T173" s="90" t="str">
        <f>HYPERLINK("http://www.youtube.com/channel/UCYMRmke8t4Dkym-3zI_yqjg")</f>
        <v>http://www.youtube.com/channel/UCYMRmke8t4Dkym-3zI_yqjg</v>
      </c>
      <c r="U173" s="84"/>
      <c r="V173" s="84" t="s">
        <v>1482</v>
      </c>
      <c r="W173" s="90" t="str">
        <f>HYPERLINK("https://www.youtube.com/watch?v=4aS_seNXq2s")</f>
        <v>https://www.youtube.com/watch?v=4aS_seNXq2s</v>
      </c>
      <c r="X173" s="84" t="s">
        <v>1537</v>
      </c>
      <c r="Y173" s="84">
        <v>1</v>
      </c>
      <c r="Z173" s="84" t="s">
        <v>1633</v>
      </c>
      <c r="AA173" s="84" t="s">
        <v>1633</v>
      </c>
      <c r="AB173" s="84"/>
      <c r="AC173" s="84"/>
      <c r="AD173" s="88" t="s">
        <v>1874</v>
      </c>
      <c r="AE173" s="86">
        <v>3</v>
      </c>
      <c r="AF173" s="87" t="str">
        <f>REPLACE(INDEX(GroupVertices[Group],MATCH(Edges[[#This Row],[Vertex 1]],GroupVertices[Vertex],0)),1,1,"")</f>
        <v>20</v>
      </c>
      <c r="AG173" s="87" t="str">
        <f>REPLACE(INDEX(GroupVertices[Group],MATCH(Edges[[#This Row],[Vertex 2]],GroupVertices[Vertex],0)),1,1,"")</f>
        <v>20</v>
      </c>
      <c r="AH173" s="105"/>
      <c r="AI173" s="105"/>
      <c r="AJ173" s="105"/>
      <c r="AK173" s="105"/>
      <c r="AL173" s="105"/>
      <c r="AM173" s="105"/>
      <c r="AN173" s="105"/>
      <c r="AO173" s="105"/>
      <c r="AP173" s="105"/>
    </row>
    <row r="174" spans="1:42" ht="15">
      <c r="A174" s="61" t="s">
        <v>384</v>
      </c>
      <c r="B174" s="61" t="s">
        <v>645</v>
      </c>
      <c r="C174" s="62" t="s">
        <v>2892</v>
      </c>
      <c r="D174" s="63">
        <v>6.666666666666667</v>
      </c>
      <c r="E174" s="62"/>
      <c r="F174" s="65">
        <v>15</v>
      </c>
      <c r="G174" s="62"/>
      <c r="H174" s="66"/>
      <c r="I174" s="67"/>
      <c r="J174" s="67"/>
      <c r="K174" s="31" t="s">
        <v>65</v>
      </c>
      <c r="L174" s="68">
        <v>174</v>
      </c>
      <c r="M174" s="68"/>
      <c r="N174" s="69"/>
      <c r="O174" s="84" t="s">
        <v>653</v>
      </c>
      <c r="P174" s="84" t="s">
        <v>215</v>
      </c>
      <c r="Q174" s="88" t="s">
        <v>825</v>
      </c>
      <c r="R174" s="84" t="s">
        <v>384</v>
      </c>
      <c r="S174" s="84" t="s">
        <v>1222</v>
      </c>
      <c r="T174" s="90" t="str">
        <f>HYPERLINK("http://www.youtube.com/channel/UCYMRmke8t4Dkym-3zI_yqjg")</f>
        <v>http://www.youtube.com/channel/UCYMRmke8t4Dkym-3zI_yqjg</v>
      </c>
      <c r="U174" s="84"/>
      <c r="V174" s="84" t="s">
        <v>1482</v>
      </c>
      <c r="W174" s="90" t="str">
        <f>HYPERLINK("https://www.youtube.com/watch?v=4aS_seNXq2s")</f>
        <v>https://www.youtube.com/watch?v=4aS_seNXq2s</v>
      </c>
      <c r="X174" s="84" t="s">
        <v>1537</v>
      </c>
      <c r="Y174" s="84">
        <v>1</v>
      </c>
      <c r="Z174" s="84" t="s">
        <v>1634</v>
      </c>
      <c r="AA174" s="84" t="s">
        <v>1634</v>
      </c>
      <c r="AB174" s="84"/>
      <c r="AC174" s="84"/>
      <c r="AD174" s="88" t="s">
        <v>1874</v>
      </c>
      <c r="AE174" s="86">
        <v>3</v>
      </c>
      <c r="AF174" s="87" t="str">
        <f>REPLACE(INDEX(GroupVertices[Group],MATCH(Edges[[#This Row],[Vertex 1]],GroupVertices[Vertex],0)),1,1,"")</f>
        <v>20</v>
      </c>
      <c r="AG174" s="87" t="str">
        <f>REPLACE(INDEX(GroupVertices[Group],MATCH(Edges[[#This Row],[Vertex 2]],GroupVertices[Vertex],0)),1,1,"")</f>
        <v>20</v>
      </c>
      <c r="AH174" s="105"/>
      <c r="AI174" s="105"/>
      <c r="AJ174" s="105"/>
      <c r="AK174" s="105"/>
      <c r="AL174" s="105"/>
      <c r="AM174" s="105"/>
      <c r="AN174" s="105"/>
      <c r="AO174" s="105"/>
      <c r="AP174" s="105"/>
    </row>
    <row r="175" spans="1:42" ht="15">
      <c r="A175" s="61" t="s">
        <v>385</v>
      </c>
      <c r="B175" s="61" t="s">
        <v>647</v>
      </c>
      <c r="C175" s="62" t="s">
        <v>2891</v>
      </c>
      <c r="D175" s="63">
        <v>5</v>
      </c>
      <c r="E175" s="62"/>
      <c r="F175" s="65">
        <v>25</v>
      </c>
      <c r="G175" s="62"/>
      <c r="H175" s="66"/>
      <c r="I175" s="67"/>
      <c r="J175" s="67"/>
      <c r="K175" s="31" t="s">
        <v>65</v>
      </c>
      <c r="L175" s="68">
        <v>175</v>
      </c>
      <c r="M175" s="68"/>
      <c r="N175" s="69"/>
      <c r="O175" s="84" t="s">
        <v>653</v>
      </c>
      <c r="P175" s="84" t="s">
        <v>215</v>
      </c>
      <c r="Q175" s="88" t="s">
        <v>826</v>
      </c>
      <c r="R175" s="84" t="s">
        <v>385</v>
      </c>
      <c r="S175" s="84" t="s">
        <v>1223</v>
      </c>
      <c r="T175" s="90" t="str">
        <f>HYPERLINK("http://www.youtube.com/channel/UC2vYA1dKaIZt4lvp9q39Zsg")</f>
        <v>http://www.youtube.com/channel/UC2vYA1dKaIZt4lvp9q39Zsg</v>
      </c>
      <c r="U175" s="84"/>
      <c r="V175" s="84" t="s">
        <v>1483</v>
      </c>
      <c r="W175" s="90" t="str">
        <f>HYPERLINK("https://www.youtube.com/watch?v=wx8RJaoVN0M")</f>
        <v>https://www.youtube.com/watch?v=wx8RJaoVN0M</v>
      </c>
      <c r="X175" s="84" t="s">
        <v>1537</v>
      </c>
      <c r="Y175" s="84">
        <v>2</v>
      </c>
      <c r="Z175" s="93">
        <v>43313.89334490741</v>
      </c>
      <c r="AA175" s="84" t="s">
        <v>1844</v>
      </c>
      <c r="AB175" s="84"/>
      <c r="AC175" s="84"/>
      <c r="AD175" s="88" t="s">
        <v>1874</v>
      </c>
      <c r="AE175" s="86">
        <v>1</v>
      </c>
      <c r="AF175" s="87" t="str">
        <f>REPLACE(INDEX(GroupVertices[Group],MATCH(Edges[[#This Row],[Vertex 1]],GroupVertices[Vertex],0)),1,1,"")</f>
        <v>8</v>
      </c>
      <c r="AG175" s="87" t="str">
        <f>REPLACE(INDEX(GroupVertices[Group],MATCH(Edges[[#This Row],[Vertex 2]],GroupVertices[Vertex],0)),1,1,"")</f>
        <v>8</v>
      </c>
      <c r="AH175" s="105"/>
      <c r="AI175" s="105"/>
      <c r="AJ175" s="105"/>
      <c r="AK175" s="105"/>
      <c r="AL175" s="105"/>
      <c r="AM175" s="105"/>
      <c r="AN175" s="105"/>
      <c r="AO175" s="105"/>
      <c r="AP175" s="105"/>
    </row>
    <row r="176" spans="1:42" ht="15">
      <c r="A176" s="61" t="s">
        <v>386</v>
      </c>
      <c r="B176" s="61" t="s">
        <v>647</v>
      </c>
      <c r="C176" s="62" t="s">
        <v>2891</v>
      </c>
      <c r="D176" s="63">
        <v>5</v>
      </c>
      <c r="E176" s="62"/>
      <c r="F176" s="65">
        <v>25</v>
      </c>
      <c r="G176" s="62"/>
      <c r="H176" s="66"/>
      <c r="I176" s="67"/>
      <c r="J176" s="67"/>
      <c r="K176" s="31" t="s">
        <v>65</v>
      </c>
      <c r="L176" s="68">
        <v>176</v>
      </c>
      <c r="M176" s="68"/>
      <c r="N176" s="69"/>
      <c r="O176" s="84" t="s">
        <v>653</v>
      </c>
      <c r="P176" s="84" t="s">
        <v>215</v>
      </c>
      <c r="Q176" s="88" t="s">
        <v>827</v>
      </c>
      <c r="R176" s="84" t="s">
        <v>386</v>
      </c>
      <c r="S176" s="84" t="s">
        <v>1224</v>
      </c>
      <c r="T176" s="90" t="str">
        <f>HYPERLINK("http://www.youtube.com/channel/UC23kNc2jtONpt3oK3mjUn8g")</f>
        <v>http://www.youtube.com/channel/UC23kNc2jtONpt3oK3mjUn8g</v>
      </c>
      <c r="U176" s="84"/>
      <c r="V176" s="84" t="s">
        <v>1483</v>
      </c>
      <c r="W176" s="90" t="str">
        <f>HYPERLINK("https://www.youtube.com/watch?v=wx8RJaoVN0M")</f>
        <v>https://www.youtube.com/watch?v=wx8RJaoVN0M</v>
      </c>
      <c r="X176" s="84" t="s">
        <v>1537</v>
      </c>
      <c r="Y176" s="84">
        <v>16</v>
      </c>
      <c r="Z176" s="93">
        <v>43374.840902777774</v>
      </c>
      <c r="AA176" s="93">
        <v>43374.840902777774</v>
      </c>
      <c r="AB176" s="84"/>
      <c r="AC176" s="84"/>
      <c r="AD176" s="88" t="s">
        <v>1874</v>
      </c>
      <c r="AE176" s="86">
        <v>1</v>
      </c>
      <c r="AF176" s="87" t="str">
        <f>REPLACE(INDEX(GroupVertices[Group],MATCH(Edges[[#This Row],[Vertex 1]],GroupVertices[Vertex],0)),1,1,"")</f>
        <v>8</v>
      </c>
      <c r="AG176" s="87" t="str">
        <f>REPLACE(INDEX(GroupVertices[Group],MATCH(Edges[[#This Row],[Vertex 2]],GroupVertices[Vertex],0)),1,1,"")</f>
        <v>8</v>
      </c>
      <c r="AH176" s="105"/>
      <c r="AI176" s="105"/>
      <c r="AJ176" s="105"/>
      <c r="AK176" s="105"/>
      <c r="AL176" s="105"/>
      <c r="AM176" s="105"/>
      <c r="AN176" s="105"/>
      <c r="AO176" s="105"/>
      <c r="AP176" s="105"/>
    </row>
    <row r="177" spans="1:42" ht="15">
      <c r="A177" s="61" t="s">
        <v>387</v>
      </c>
      <c r="B177" s="61" t="s">
        <v>647</v>
      </c>
      <c r="C177" s="62" t="s">
        <v>2891</v>
      </c>
      <c r="D177" s="63">
        <v>5</v>
      </c>
      <c r="E177" s="62"/>
      <c r="F177" s="65">
        <v>25</v>
      </c>
      <c r="G177" s="62"/>
      <c r="H177" s="66"/>
      <c r="I177" s="67"/>
      <c r="J177" s="67"/>
      <c r="K177" s="31" t="s">
        <v>65</v>
      </c>
      <c r="L177" s="68">
        <v>177</v>
      </c>
      <c r="M177" s="68"/>
      <c r="N177" s="69"/>
      <c r="O177" s="84" t="s">
        <v>653</v>
      </c>
      <c r="P177" s="84" t="s">
        <v>215</v>
      </c>
      <c r="Q177" s="88" t="s">
        <v>828</v>
      </c>
      <c r="R177" s="84" t="s">
        <v>387</v>
      </c>
      <c r="S177" s="84" t="s">
        <v>1225</v>
      </c>
      <c r="T177" s="90" t="str">
        <f>HYPERLINK("http://www.youtube.com/channel/UCMQ6X7lnyBPxEvRdIaw-Fzw")</f>
        <v>http://www.youtube.com/channel/UCMQ6X7lnyBPxEvRdIaw-Fzw</v>
      </c>
      <c r="U177" s="84"/>
      <c r="V177" s="84" t="s">
        <v>1483</v>
      </c>
      <c r="W177" s="90" t="str">
        <f>HYPERLINK("https://www.youtube.com/watch?v=wx8RJaoVN0M")</f>
        <v>https://www.youtube.com/watch?v=wx8RJaoVN0M</v>
      </c>
      <c r="X177" s="84" t="s">
        <v>1537</v>
      </c>
      <c r="Y177" s="84">
        <v>3</v>
      </c>
      <c r="Z177" s="84" t="s">
        <v>1635</v>
      </c>
      <c r="AA177" s="84" t="s">
        <v>1635</v>
      </c>
      <c r="AB177" s="84"/>
      <c r="AC177" s="84"/>
      <c r="AD177" s="88" t="s">
        <v>1874</v>
      </c>
      <c r="AE177" s="86">
        <v>1</v>
      </c>
      <c r="AF177" s="87" t="str">
        <f>REPLACE(INDEX(GroupVertices[Group],MATCH(Edges[[#This Row],[Vertex 1]],GroupVertices[Vertex],0)),1,1,"")</f>
        <v>8</v>
      </c>
      <c r="AG177" s="87" t="str">
        <f>REPLACE(INDEX(GroupVertices[Group],MATCH(Edges[[#This Row],[Vertex 2]],GroupVertices[Vertex],0)),1,1,"")</f>
        <v>8</v>
      </c>
      <c r="AH177" s="105"/>
      <c r="AI177" s="105"/>
      <c r="AJ177" s="105"/>
      <c r="AK177" s="105"/>
      <c r="AL177" s="105"/>
      <c r="AM177" s="105"/>
      <c r="AN177" s="105"/>
      <c r="AO177" s="105"/>
      <c r="AP177" s="105"/>
    </row>
    <row r="178" spans="1:42" ht="15">
      <c r="A178" s="61" t="s">
        <v>388</v>
      </c>
      <c r="B178" s="61" t="s">
        <v>647</v>
      </c>
      <c r="C178" s="62" t="s">
        <v>2891</v>
      </c>
      <c r="D178" s="63">
        <v>5</v>
      </c>
      <c r="E178" s="62"/>
      <c r="F178" s="65">
        <v>25</v>
      </c>
      <c r="G178" s="62"/>
      <c r="H178" s="66"/>
      <c r="I178" s="67"/>
      <c r="J178" s="67"/>
      <c r="K178" s="31" t="s">
        <v>65</v>
      </c>
      <c r="L178" s="68">
        <v>178</v>
      </c>
      <c r="M178" s="68"/>
      <c r="N178" s="69"/>
      <c r="O178" s="84" t="s">
        <v>653</v>
      </c>
      <c r="P178" s="84" t="s">
        <v>215</v>
      </c>
      <c r="Q178" s="88" t="s">
        <v>829</v>
      </c>
      <c r="R178" s="84" t="s">
        <v>388</v>
      </c>
      <c r="S178" s="84" t="s">
        <v>1226</v>
      </c>
      <c r="T178" s="90" t="str">
        <f>HYPERLINK("http://www.youtube.com/channel/UCotYsw64baD7u3cHwgNgtNQ")</f>
        <v>http://www.youtube.com/channel/UCotYsw64baD7u3cHwgNgtNQ</v>
      </c>
      <c r="U178" s="84"/>
      <c r="V178" s="84" t="s">
        <v>1483</v>
      </c>
      <c r="W178" s="90" t="str">
        <f>HYPERLINK("https://www.youtube.com/watch?v=wx8RJaoVN0M")</f>
        <v>https://www.youtube.com/watch?v=wx8RJaoVN0M</v>
      </c>
      <c r="X178" s="84" t="s">
        <v>1537</v>
      </c>
      <c r="Y178" s="84">
        <v>24</v>
      </c>
      <c r="Z178" s="84" t="s">
        <v>1636</v>
      </c>
      <c r="AA178" s="84" t="s">
        <v>1845</v>
      </c>
      <c r="AB178" s="84"/>
      <c r="AC178" s="84"/>
      <c r="AD178" s="88" t="s">
        <v>1874</v>
      </c>
      <c r="AE178" s="86">
        <v>1</v>
      </c>
      <c r="AF178" s="87" t="str">
        <f>REPLACE(INDEX(GroupVertices[Group],MATCH(Edges[[#This Row],[Vertex 1]],GroupVertices[Vertex],0)),1,1,"")</f>
        <v>8</v>
      </c>
      <c r="AG178" s="87" t="str">
        <f>REPLACE(INDEX(GroupVertices[Group],MATCH(Edges[[#This Row],[Vertex 2]],GroupVertices[Vertex],0)),1,1,"")</f>
        <v>8</v>
      </c>
      <c r="AH178" s="105"/>
      <c r="AI178" s="105"/>
      <c r="AJ178" s="105"/>
      <c r="AK178" s="105"/>
      <c r="AL178" s="105"/>
      <c r="AM178" s="105"/>
      <c r="AN178" s="105"/>
      <c r="AO178" s="105"/>
      <c r="AP178" s="105"/>
    </row>
    <row r="179" spans="1:42" ht="15">
      <c r="A179" s="61" t="s">
        <v>389</v>
      </c>
      <c r="B179" s="61" t="s">
        <v>647</v>
      </c>
      <c r="C179" s="62" t="s">
        <v>2891</v>
      </c>
      <c r="D179" s="63">
        <v>5</v>
      </c>
      <c r="E179" s="62"/>
      <c r="F179" s="65">
        <v>25</v>
      </c>
      <c r="G179" s="62"/>
      <c r="H179" s="66"/>
      <c r="I179" s="67"/>
      <c r="J179" s="67"/>
      <c r="K179" s="31" t="s">
        <v>65</v>
      </c>
      <c r="L179" s="68">
        <v>179</v>
      </c>
      <c r="M179" s="68"/>
      <c r="N179" s="69"/>
      <c r="O179" s="84" t="s">
        <v>653</v>
      </c>
      <c r="P179" s="84" t="s">
        <v>215</v>
      </c>
      <c r="Q179" s="88" t="s">
        <v>830</v>
      </c>
      <c r="R179" s="84" t="s">
        <v>389</v>
      </c>
      <c r="S179" s="84" t="s">
        <v>1227</v>
      </c>
      <c r="T179" s="90" t="str">
        <f>HYPERLINK("http://www.youtube.com/channel/UCM_CoWRsOFxIjHIbj8qk0mw")</f>
        <v>http://www.youtube.com/channel/UCM_CoWRsOFxIjHIbj8qk0mw</v>
      </c>
      <c r="U179" s="84"/>
      <c r="V179" s="84" t="s">
        <v>1483</v>
      </c>
      <c r="W179" s="90" t="str">
        <f>HYPERLINK("https://www.youtube.com/watch?v=wx8RJaoVN0M")</f>
        <v>https://www.youtube.com/watch?v=wx8RJaoVN0M</v>
      </c>
      <c r="X179" s="84" t="s">
        <v>1537</v>
      </c>
      <c r="Y179" s="84">
        <v>4</v>
      </c>
      <c r="Z179" s="93">
        <v>43104.520787037036</v>
      </c>
      <c r="AA179" s="93">
        <v>43104.520787037036</v>
      </c>
      <c r="AB179" s="84"/>
      <c r="AC179" s="84"/>
      <c r="AD179" s="88" t="s">
        <v>1874</v>
      </c>
      <c r="AE179" s="86">
        <v>1</v>
      </c>
      <c r="AF179" s="87" t="str">
        <f>REPLACE(INDEX(GroupVertices[Group],MATCH(Edges[[#This Row],[Vertex 1]],GroupVertices[Vertex],0)),1,1,"")</f>
        <v>8</v>
      </c>
      <c r="AG179" s="87" t="str">
        <f>REPLACE(INDEX(GroupVertices[Group],MATCH(Edges[[#This Row],[Vertex 2]],GroupVertices[Vertex],0)),1,1,"")</f>
        <v>8</v>
      </c>
      <c r="AH179" s="105"/>
      <c r="AI179" s="105"/>
      <c r="AJ179" s="105"/>
      <c r="AK179" s="105"/>
      <c r="AL179" s="105"/>
      <c r="AM179" s="105"/>
      <c r="AN179" s="105"/>
      <c r="AO179" s="105"/>
      <c r="AP179" s="105"/>
    </row>
    <row r="180" spans="1:42" ht="15">
      <c r="A180" s="61" t="s">
        <v>390</v>
      </c>
      <c r="B180" s="61" t="s">
        <v>647</v>
      </c>
      <c r="C180" s="62" t="s">
        <v>2891</v>
      </c>
      <c r="D180" s="63">
        <v>5</v>
      </c>
      <c r="E180" s="62"/>
      <c r="F180" s="65">
        <v>25</v>
      </c>
      <c r="G180" s="62"/>
      <c r="H180" s="66"/>
      <c r="I180" s="67"/>
      <c r="J180" s="67"/>
      <c r="K180" s="31" t="s">
        <v>65</v>
      </c>
      <c r="L180" s="68">
        <v>180</v>
      </c>
      <c r="M180" s="68"/>
      <c r="N180" s="69"/>
      <c r="O180" s="84" t="s">
        <v>653</v>
      </c>
      <c r="P180" s="84" t="s">
        <v>215</v>
      </c>
      <c r="Q180" s="88" t="s">
        <v>831</v>
      </c>
      <c r="R180" s="84" t="s">
        <v>390</v>
      </c>
      <c r="S180" s="84" t="s">
        <v>1228</v>
      </c>
      <c r="T180" s="90" t="str">
        <f>HYPERLINK("http://www.youtube.com/channel/UCyRLj8raQ-tOBLaCO0I82Ng")</f>
        <v>http://www.youtube.com/channel/UCyRLj8raQ-tOBLaCO0I82Ng</v>
      </c>
      <c r="U180" s="84"/>
      <c r="V180" s="84" t="s">
        <v>1483</v>
      </c>
      <c r="W180" s="90" t="str">
        <f>HYPERLINK("https://www.youtube.com/watch?v=wx8RJaoVN0M")</f>
        <v>https://www.youtube.com/watch?v=wx8RJaoVN0M</v>
      </c>
      <c r="X180" s="84" t="s">
        <v>1537</v>
      </c>
      <c r="Y180" s="84">
        <v>16</v>
      </c>
      <c r="Z180" s="84" t="s">
        <v>1637</v>
      </c>
      <c r="AA180" s="84" t="s">
        <v>1637</v>
      </c>
      <c r="AB180" s="84"/>
      <c r="AC180" s="84"/>
      <c r="AD180" s="88" t="s">
        <v>1874</v>
      </c>
      <c r="AE180" s="86">
        <v>1</v>
      </c>
      <c r="AF180" s="87" t="str">
        <f>REPLACE(INDEX(GroupVertices[Group],MATCH(Edges[[#This Row],[Vertex 1]],GroupVertices[Vertex],0)),1,1,"")</f>
        <v>8</v>
      </c>
      <c r="AG180" s="87" t="str">
        <f>REPLACE(INDEX(GroupVertices[Group],MATCH(Edges[[#This Row],[Vertex 2]],GroupVertices[Vertex],0)),1,1,"")</f>
        <v>8</v>
      </c>
      <c r="AH180" s="105"/>
      <c r="AI180" s="105"/>
      <c r="AJ180" s="105"/>
      <c r="AK180" s="105"/>
      <c r="AL180" s="105"/>
      <c r="AM180" s="105"/>
      <c r="AN180" s="105"/>
      <c r="AO180" s="105"/>
      <c r="AP180" s="105"/>
    </row>
    <row r="181" spans="1:42" ht="15">
      <c r="A181" s="61" t="s">
        <v>391</v>
      </c>
      <c r="B181" s="61" t="s">
        <v>647</v>
      </c>
      <c r="C181" s="62" t="s">
        <v>2891</v>
      </c>
      <c r="D181" s="63">
        <v>5</v>
      </c>
      <c r="E181" s="62"/>
      <c r="F181" s="65">
        <v>25</v>
      </c>
      <c r="G181" s="62"/>
      <c r="H181" s="66"/>
      <c r="I181" s="67"/>
      <c r="J181" s="67"/>
      <c r="K181" s="31" t="s">
        <v>65</v>
      </c>
      <c r="L181" s="68">
        <v>181</v>
      </c>
      <c r="M181" s="68"/>
      <c r="N181" s="69"/>
      <c r="O181" s="84" t="s">
        <v>653</v>
      </c>
      <c r="P181" s="84" t="s">
        <v>215</v>
      </c>
      <c r="Q181" s="88" t="s">
        <v>832</v>
      </c>
      <c r="R181" s="84" t="s">
        <v>391</v>
      </c>
      <c r="S181" s="84" t="s">
        <v>1229</v>
      </c>
      <c r="T181" s="90" t="str">
        <f>HYPERLINK("http://www.youtube.com/channel/UCrBJcT_sItIaC5HIjTNYCXA")</f>
        <v>http://www.youtube.com/channel/UCrBJcT_sItIaC5HIjTNYCXA</v>
      </c>
      <c r="U181" s="84"/>
      <c r="V181" s="84" t="s">
        <v>1483</v>
      </c>
      <c r="W181" s="90" t="str">
        <f>HYPERLINK("https://www.youtube.com/watch?v=wx8RJaoVN0M")</f>
        <v>https://www.youtube.com/watch?v=wx8RJaoVN0M</v>
      </c>
      <c r="X181" s="84" t="s">
        <v>1537</v>
      </c>
      <c r="Y181" s="84">
        <v>0</v>
      </c>
      <c r="Z181" s="93">
        <v>43228.539513888885</v>
      </c>
      <c r="AA181" s="93">
        <v>43228.539513888885</v>
      </c>
      <c r="AB181" s="84"/>
      <c r="AC181" s="84"/>
      <c r="AD181" s="88" t="s">
        <v>1874</v>
      </c>
      <c r="AE181" s="86">
        <v>1</v>
      </c>
      <c r="AF181" s="87" t="str">
        <f>REPLACE(INDEX(GroupVertices[Group],MATCH(Edges[[#This Row],[Vertex 1]],GroupVertices[Vertex],0)),1,1,"")</f>
        <v>8</v>
      </c>
      <c r="AG181" s="87" t="str">
        <f>REPLACE(INDEX(GroupVertices[Group],MATCH(Edges[[#This Row],[Vertex 2]],GroupVertices[Vertex],0)),1,1,"")</f>
        <v>8</v>
      </c>
      <c r="AH181" s="105"/>
      <c r="AI181" s="105"/>
      <c r="AJ181" s="105"/>
      <c r="AK181" s="105"/>
      <c r="AL181" s="105"/>
      <c r="AM181" s="105"/>
      <c r="AN181" s="105"/>
      <c r="AO181" s="105"/>
      <c r="AP181" s="105"/>
    </row>
    <row r="182" spans="1:42" ht="15">
      <c r="A182" s="61" t="s">
        <v>392</v>
      </c>
      <c r="B182" s="61" t="s">
        <v>647</v>
      </c>
      <c r="C182" s="62" t="s">
        <v>2892</v>
      </c>
      <c r="D182" s="63">
        <v>6.666666666666667</v>
      </c>
      <c r="E182" s="62"/>
      <c r="F182" s="65">
        <v>15</v>
      </c>
      <c r="G182" s="62"/>
      <c r="H182" s="66"/>
      <c r="I182" s="67"/>
      <c r="J182" s="67"/>
      <c r="K182" s="31" t="s">
        <v>65</v>
      </c>
      <c r="L182" s="68">
        <v>182</v>
      </c>
      <c r="M182" s="68"/>
      <c r="N182" s="69"/>
      <c r="O182" s="84" t="s">
        <v>653</v>
      </c>
      <c r="P182" s="84" t="s">
        <v>215</v>
      </c>
      <c r="Q182" s="88" t="s">
        <v>833</v>
      </c>
      <c r="R182" s="84" t="s">
        <v>392</v>
      </c>
      <c r="S182" s="84" t="s">
        <v>1230</v>
      </c>
      <c r="T182" s="90" t="str">
        <f>HYPERLINK("http://www.youtube.com/channel/UCevWhyTPCHqF3vRb7kTCzcw")</f>
        <v>http://www.youtube.com/channel/UCevWhyTPCHqF3vRb7kTCzcw</v>
      </c>
      <c r="U182" s="84"/>
      <c r="V182" s="84" t="s">
        <v>1483</v>
      </c>
      <c r="W182" s="90" t="str">
        <f>HYPERLINK("https://www.youtube.com/watch?v=wx8RJaoVN0M")</f>
        <v>https://www.youtube.com/watch?v=wx8RJaoVN0M</v>
      </c>
      <c r="X182" s="84" t="s">
        <v>1537</v>
      </c>
      <c r="Y182" s="84">
        <v>2</v>
      </c>
      <c r="Z182" s="84" t="s">
        <v>1638</v>
      </c>
      <c r="AA182" s="84" t="s">
        <v>1638</v>
      </c>
      <c r="AB182" s="84"/>
      <c r="AC182" s="84"/>
      <c r="AD182" s="88" t="s">
        <v>1874</v>
      </c>
      <c r="AE182" s="86">
        <v>3</v>
      </c>
      <c r="AF182" s="87" t="str">
        <f>REPLACE(INDEX(GroupVertices[Group],MATCH(Edges[[#This Row],[Vertex 1]],GroupVertices[Vertex],0)),1,1,"")</f>
        <v>8</v>
      </c>
      <c r="AG182" s="87" t="str">
        <f>REPLACE(INDEX(GroupVertices[Group],MATCH(Edges[[#This Row],[Vertex 2]],GroupVertices[Vertex],0)),1,1,"")</f>
        <v>8</v>
      </c>
      <c r="AH182" s="105"/>
      <c r="AI182" s="105"/>
      <c r="AJ182" s="105"/>
      <c r="AK182" s="105"/>
      <c r="AL182" s="105"/>
      <c r="AM182" s="105"/>
      <c r="AN182" s="105"/>
      <c r="AO182" s="105"/>
      <c r="AP182" s="105"/>
    </row>
    <row r="183" spans="1:42" ht="15">
      <c r="A183" s="61" t="s">
        <v>392</v>
      </c>
      <c r="B183" s="61" t="s">
        <v>647</v>
      </c>
      <c r="C183" s="62" t="s">
        <v>2892</v>
      </c>
      <c r="D183" s="63">
        <v>6.666666666666667</v>
      </c>
      <c r="E183" s="62"/>
      <c r="F183" s="65">
        <v>15</v>
      </c>
      <c r="G183" s="62"/>
      <c r="H183" s="66"/>
      <c r="I183" s="67"/>
      <c r="J183" s="67"/>
      <c r="K183" s="31" t="s">
        <v>65</v>
      </c>
      <c r="L183" s="68">
        <v>183</v>
      </c>
      <c r="M183" s="68"/>
      <c r="N183" s="69"/>
      <c r="O183" s="84" t="s">
        <v>653</v>
      </c>
      <c r="P183" s="84" t="s">
        <v>215</v>
      </c>
      <c r="Q183" s="88" t="s">
        <v>834</v>
      </c>
      <c r="R183" s="84" t="s">
        <v>392</v>
      </c>
      <c r="S183" s="84" t="s">
        <v>1230</v>
      </c>
      <c r="T183" s="90" t="str">
        <f>HYPERLINK("http://www.youtube.com/channel/UCevWhyTPCHqF3vRb7kTCzcw")</f>
        <v>http://www.youtube.com/channel/UCevWhyTPCHqF3vRb7kTCzcw</v>
      </c>
      <c r="U183" s="84"/>
      <c r="V183" s="84" t="s">
        <v>1483</v>
      </c>
      <c r="W183" s="90" t="str">
        <f>HYPERLINK("https://www.youtube.com/watch?v=wx8RJaoVN0M")</f>
        <v>https://www.youtube.com/watch?v=wx8RJaoVN0M</v>
      </c>
      <c r="X183" s="84" t="s">
        <v>1537</v>
      </c>
      <c r="Y183" s="84">
        <v>1</v>
      </c>
      <c r="Z183" s="84" t="s">
        <v>1639</v>
      </c>
      <c r="AA183" s="84" t="s">
        <v>1639</v>
      </c>
      <c r="AB183" s="84"/>
      <c r="AC183" s="84"/>
      <c r="AD183" s="88" t="s">
        <v>1874</v>
      </c>
      <c r="AE183" s="86">
        <v>3</v>
      </c>
      <c r="AF183" s="87" t="str">
        <f>REPLACE(INDEX(GroupVertices[Group],MATCH(Edges[[#This Row],[Vertex 1]],GroupVertices[Vertex],0)),1,1,"")</f>
        <v>8</v>
      </c>
      <c r="AG183" s="87" t="str">
        <f>REPLACE(INDEX(GroupVertices[Group],MATCH(Edges[[#This Row],[Vertex 2]],GroupVertices[Vertex],0)),1,1,"")</f>
        <v>8</v>
      </c>
      <c r="AH183" s="105"/>
      <c r="AI183" s="105"/>
      <c r="AJ183" s="105"/>
      <c r="AK183" s="105"/>
      <c r="AL183" s="105"/>
      <c r="AM183" s="105"/>
      <c r="AN183" s="105"/>
      <c r="AO183" s="105"/>
      <c r="AP183" s="105"/>
    </row>
    <row r="184" spans="1:42" ht="15">
      <c r="A184" s="61" t="s">
        <v>392</v>
      </c>
      <c r="B184" s="61" t="s">
        <v>647</v>
      </c>
      <c r="C184" s="62" t="s">
        <v>2892</v>
      </c>
      <c r="D184" s="63">
        <v>6.666666666666667</v>
      </c>
      <c r="E184" s="62"/>
      <c r="F184" s="65">
        <v>15</v>
      </c>
      <c r="G184" s="62"/>
      <c r="H184" s="66"/>
      <c r="I184" s="67"/>
      <c r="J184" s="67"/>
      <c r="K184" s="31" t="s">
        <v>65</v>
      </c>
      <c r="L184" s="68">
        <v>184</v>
      </c>
      <c r="M184" s="68"/>
      <c r="N184" s="69"/>
      <c r="O184" s="84" t="s">
        <v>653</v>
      </c>
      <c r="P184" s="84" t="s">
        <v>215</v>
      </c>
      <c r="Q184" s="88" t="s">
        <v>835</v>
      </c>
      <c r="R184" s="84" t="s">
        <v>392</v>
      </c>
      <c r="S184" s="84" t="s">
        <v>1230</v>
      </c>
      <c r="T184" s="90" t="str">
        <f>HYPERLINK("http://www.youtube.com/channel/UCevWhyTPCHqF3vRb7kTCzcw")</f>
        <v>http://www.youtube.com/channel/UCevWhyTPCHqF3vRb7kTCzcw</v>
      </c>
      <c r="U184" s="84"/>
      <c r="V184" s="84" t="s">
        <v>1483</v>
      </c>
      <c r="W184" s="90" t="str">
        <f>HYPERLINK("https://www.youtube.com/watch?v=wx8RJaoVN0M")</f>
        <v>https://www.youtube.com/watch?v=wx8RJaoVN0M</v>
      </c>
      <c r="X184" s="84" t="s">
        <v>1537</v>
      </c>
      <c r="Y184" s="84">
        <v>4</v>
      </c>
      <c r="Z184" s="84" t="s">
        <v>1640</v>
      </c>
      <c r="AA184" s="84" t="s">
        <v>1640</v>
      </c>
      <c r="AB184" s="84"/>
      <c r="AC184" s="84"/>
      <c r="AD184" s="88" t="s">
        <v>1874</v>
      </c>
      <c r="AE184" s="86">
        <v>3</v>
      </c>
      <c r="AF184" s="87" t="str">
        <f>REPLACE(INDEX(GroupVertices[Group],MATCH(Edges[[#This Row],[Vertex 1]],GroupVertices[Vertex],0)),1,1,"")</f>
        <v>8</v>
      </c>
      <c r="AG184" s="87" t="str">
        <f>REPLACE(INDEX(GroupVertices[Group],MATCH(Edges[[#This Row],[Vertex 2]],GroupVertices[Vertex],0)),1,1,"")</f>
        <v>8</v>
      </c>
      <c r="AH184" s="105"/>
      <c r="AI184" s="105"/>
      <c r="AJ184" s="105"/>
      <c r="AK184" s="105"/>
      <c r="AL184" s="105"/>
      <c r="AM184" s="105"/>
      <c r="AN184" s="105"/>
      <c r="AO184" s="105"/>
      <c r="AP184" s="105"/>
    </row>
    <row r="185" spans="1:42" ht="15">
      <c r="A185" s="61" t="s">
        <v>393</v>
      </c>
      <c r="B185" s="61" t="s">
        <v>647</v>
      </c>
      <c r="C185" s="62" t="s">
        <v>2891</v>
      </c>
      <c r="D185" s="63">
        <v>5</v>
      </c>
      <c r="E185" s="62"/>
      <c r="F185" s="65">
        <v>25</v>
      </c>
      <c r="G185" s="62"/>
      <c r="H185" s="66"/>
      <c r="I185" s="67"/>
      <c r="J185" s="67"/>
      <c r="K185" s="31" t="s">
        <v>65</v>
      </c>
      <c r="L185" s="68">
        <v>185</v>
      </c>
      <c r="M185" s="68"/>
      <c r="N185" s="69"/>
      <c r="O185" s="84" t="s">
        <v>653</v>
      </c>
      <c r="P185" s="84" t="s">
        <v>215</v>
      </c>
      <c r="Q185" s="88" t="s">
        <v>836</v>
      </c>
      <c r="R185" s="84" t="s">
        <v>393</v>
      </c>
      <c r="S185" s="84" t="s">
        <v>1231</v>
      </c>
      <c r="T185" s="90" t="str">
        <f>HYPERLINK("http://www.youtube.com/channel/UCOJiq8sbgB7MZvNJULhw18w")</f>
        <v>http://www.youtube.com/channel/UCOJiq8sbgB7MZvNJULhw18w</v>
      </c>
      <c r="U185" s="84"/>
      <c r="V185" s="84" t="s">
        <v>1483</v>
      </c>
      <c r="W185" s="90" t="str">
        <f>HYPERLINK("https://www.youtube.com/watch?v=wx8RJaoVN0M")</f>
        <v>https://www.youtube.com/watch?v=wx8RJaoVN0M</v>
      </c>
      <c r="X185" s="84" t="s">
        <v>1537</v>
      </c>
      <c r="Y185" s="84">
        <v>0</v>
      </c>
      <c r="Z185" s="93">
        <v>44899.91359953704</v>
      </c>
      <c r="AA185" s="93">
        <v>44899.91359953704</v>
      </c>
      <c r="AB185" s="84"/>
      <c r="AC185" s="84"/>
      <c r="AD185" s="88" t="s">
        <v>1874</v>
      </c>
      <c r="AE185" s="86">
        <v>1</v>
      </c>
      <c r="AF185" s="87" t="str">
        <f>REPLACE(INDEX(GroupVertices[Group],MATCH(Edges[[#This Row],[Vertex 1]],GroupVertices[Vertex],0)),1,1,"")</f>
        <v>8</v>
      </c>
      <c r="AG185" s="87" t="str">
        <f>REPLACE(INDEX(GroupVertices[Group],MATCH(Edges[[#This Row],[Vertex 2]],GroupVertices[Vertex],0)),1,1,"")</f>
        <v>8</v>
      </c>
      <c r="AH185" s="105"/>
      <c r="AI185" s="105"/>
      <c r="AJ185" s="105"/>
      <c r="AK185" s="105"/>
      <c r="AL185" s="105"/>
      <c r="AM185" s="105"/>
      <c r="AN185" s="105"/>
      <c r="AO185" s="105"/>
      <c r="AP185" s="105"/>
    </row>
    <row r="186" spans="1:42" ht="15">
      <c r="A186" s="61" t="s">
        <v>394</v>
      </c>
      <c r="B186" s="61" t="s">
        <v>647</v>
      </c>
      <c r="C186" s="62" t="s">
        <v>2891</v>
      </c>
      <c r="D186" s="63">
        <v>5</v>
      </c>
      <c r="E186" s="62"/>
      <c r="F186" s="65">
        <v>25</v>
      </c>
      <c r="G186" s="62"/>
      <c r="H186" s="66"/>
      <c r="I186" s="67"/>
      <c r="J186" s="67"/>
      <c r="K186" s="31" t="s">
        <v>65</v>
      </c>
      <c r="L186" s="68">
        <v>186</v>
      </c>
      <c r="M186" s="68"/>
      <c r="N186" s="69"/>
      <c r="O186" s="84" t="s">
        <v>653</v>
      </c>
      <c r="P186" s="84" t="s">
        <v>215</v>
      </c>
      <c r="Q186" s="88" t="s">
        <v>837</v>
      </c>
      <c r="R186" s="84" t="s">
        <v>394</v>
      </c>
      <c r="S186" s="84" t="s">
        <v>1232</v>
      </c>
      <c r="T186" s="90" t="str">
        <f>HYPERLINK("http://www.youtube.com/channel/UCDEZHY8zItSXUC-LUMGhu7w")</f>
        <v>http://www.youtube.com/channel/UCDEZHY8zItSXUC-LUMGhu7w</v>
      </c>
      <c r="U186" s="84"/>
      <c r="V186" s="84" t="s">
        <v>1483</v>
      </c>
      <c r="W186" s="90" t="str">
        <f>HYPERLINK("https://www.youtube.com/watch?v=wx8RJaoVN0M")</f>
        <v>https://www.youtube.com/watch?v=wx8RJaoVN0M</v>
      </c>
      <c r="X186" s="84" t="s">
        <v>1537</v>
      </c>
      <c r="Y186" s="84">
        <v>0</v>
      </c>
      <c r="Z186" s="93">
        <v>44568.118680555555</v>
      </c>
      <c r="AA186" s="93">
        <v>44568.118680555555</v>
      </c>
      <c r="AB186" s="84"/>
      <c r="AC186" s="84"/>
      <c r="AD186" s="88" t="s">
        <v>1874</v>
      </c>
      <c r="AE186" s="86">
        <v>1</v>
      </c>
      <c r="AF186" s="87" t="str">
        <f>REPLACE(INDEX(GroupVertices[Group],MATCH(Edges[[#This Row],[Vertex 1]],GroupVertices[Vertex],0)),1,1,"")</f>
        <v>8</v>
      </c>
      <c r="AG186" s="87" t="str">
        <f>REPLACE(INDEX(GroupVertices[Group],MATCH(Edges[[#This Row],[Vertex 2]],GroupVertices[Vertex],0)),1,1,"")</f>
        <v>8</v>
      </c>
      <c r="AH186" s="105"/>
      <c r="AI186" s="105"/>
      <c r="AJ186" s="105"/>
      <c r="AK186" s="105"/>
      <c r="AL186" s="105"/>
      <c r="AM186" s="105"/>
      <c r="AN186" s="105"/>
      <c r="AO186" s="105"/>
      <c r="AP186" s="105"/>
    </row>
    <row r="187" spans="1:42" ht="15">
      <c r="A187" s="61" t="s">
        <v>395</v>
      </c>
      <c r="B187" s="61" t="s">
        <v>647</v>
      </c>
      <c r="C187" s="62" t="s">
        <v>2891</v>
      </c>
      <c r="D187" s="63">
        <v>5</v>
      </c>
      <c r="E187" s="62"/>
      <c r="F187" s="65">
        <v>25</v>
      </c>
      <c r="G187" s="62"/>
      <c r="H187" s="66"/>
      <c r="I187" s="67"/>
      <c r="J187" s="67"/>
      <c r="K187" s="31" t="s">
        <v>65</v>
      </c>
      <c r="L187" s="68">
        <v>187</v>
      </c>
      <c r="M187" s="68"/>
      <c r="N187" s="69"/>
      <c r="O187" s="84" t="s">
        <v>653</v>
      </c>
      <c r="P187" s="84" t="s">
        <v>215</v>
      </c>
      <c r="Q187" s="88" t="s">
        <v>838</v>
      </c>
      <c r="R187" s="84" t="s">
        <v>395</v>
      </c>
      <c r="S187" s="84" t="s">
        <v>1233</v>
      </c>
      <c r="T187" s="90" t="str">
        <f>HYPERLINK("http://www.youtube.com/channel/UCfI__YC1RicTm8JtPBgEi9Q")</f>
        <v>http://www.youtube.com/channel/UCfI__YC1RicTm8JtPBgEi9Q</v>
      </c>
      <c r="U187" s="84"/>
      <c r="V187" s="84" t="s">
        <v>1483</v>
      </c>
      <c r="W187" s="90" t="str">
        <f>HYPERLINK("https://www.youtube.com/watch?v=wx8RJaoVN0M")</f>
        <v>https://www.youtube.com/watch?v=wx8RJaoVN0M</v>
      </c>
      <c r="X187" s="84" t="s">
        <v>1537</v>
      </c>
      <c r="Y187" s="84">
        <v>1</v>
      </c>
      <c r="Z187" s="93">
        <v>44568.982719907406</v>
      </c>
      <c r="AA187" s="93">
        <v>44568.982719907406</v>
      </c>
      <c r="AB187" s="84"/>
      <c r="AC187" s="84"/>
      <c r="AD187" s="88" t="s">
        <v>1874</v>
      </c>
      <c r="AE187" s="86">
        <v>1</v>
      </c>
      <c r="AF187" s="87" t="str">
        <f>REPLACE(INDEX(GroupVertices[Group],MATCH(Edges[[#This Row],[Vertex 1]],GroupVertices[Vertex],0)),1,1,"")</f>
        <v>8</v>
      </c>
      <c r="AG187" s="87" t="str">
        <f>REPLACE(INDEX(GroupVertices[Group],MATCH(Edges[[#This Row],[Vertex 2]],GroupVertices[Vertex],0)),1,1,"")</f>
        <v>8</v>
      </c>
      <c r="AH187" s="105"/>
      <c r="AI187" s="105"/>
      <c r="AJ187" s="105"/>
      <c r="AK187" s="105"/>
      <c r="AL187" s="105"/>
      <c r="AM187" s="105"/>
      <c r="AN187" s="105"/>
      <c r="AO187" s="105"/>
      <c r="AP187" s="105"/>
    </row>
    <row r="188" spans="1:42" ht="15">
      <c r="A188" s="61" t="s">
        <v>396</v>
      </c>
      <c r="B188" s="61" t="s">
        <v>647</v>
      </c>
      <c r="C188" s="62" t="s">
        <v>2891</v>
      </c>
      <c r="D188" s="63">
        <v>5</v>
      </c>
      <c r="E188" s="62"/>
      <c r="F188" s="65">
        <v>25</v>
      </c>
      <c r="G188" s="62"/>
      <c r="H188" s="66"/>
      <c r="I188" s="67"/>
      <c r="J188" s="67"/>
      <c r="K188" s="31" t="s">
        <v>65</v>
      </c>
      <c r="L188" s="68">
        <v>188</v>
      </c>
      <c r="M188" s="68"/>
      <c r="N188" s="69"/>
      <c r="O188" s="84" t="s">
        <v>653</v>
      </c>
      <c r="P188" s="84" t="s">
        <v>215</v>
      </c>
      <c r="Q188" s="88" t="s">
        <v>839</v>
      </c>
      <c r="R188" s="84" t="s">
        <v>396</v>
      </c>
      <c r="S188" s="84" t="s">
        <v>1234</v>
      </c>
      <c r="T188" s="90" t="str">
        <f>HYPERLINK("http://www.youtube.com/channel/UCt7zocCBJdxjc8Ej-znNG2A")</f>
        <v>http://www.youtube.com/channel/UCt7zocCBJdxjc8Ej-znNG2A</v>
      </c>
      <c r="U188" s="84"/>
      <c r="V188" s="84" t="s">
        <v>1483</v>
      </c>
      <c r="W188" s="90" t="str">
        <f>HYPERLINK("https://www.youtube.com/watch?v=wx8RJaoVN0M")</f>
        <v>https://www.youtube.com/watch?v=wx8RJaoVN0M</v>
      </c>
      <c r="X188" s="84" t="s">
        <v>1537</v>
      </c>
      <c r="Y188" s="84">
        <v>0</v>
      </c>
      <c r="Z188" s="84" t="s">
        <v>1641</v>
      </c>
      <c r="AA188" s="84" t="s">
        <v>1641</v>
      </c>
      <c r="AB188" s="84"/>
      <c r="AC188" s="84"/>
      <c r="AD188" s="88" t="s">
        <v>1874</v>
      </c>
      <c r="AE188" s="86">
        <v>1</v>
      </c>
      <c r="AF188" s="87" t="str">
        <f>REPLACE(INDEX(GroupVertices[Group],MATCH(Edges[[#This Row],[Vertex 1]],GroupVertices[Vertex],0)),1,1,"")</f>
        <v>8</v>
      </c>
      <c r="AG188" s="87" t="str">
        <f>REPLACE(INDEX(GroupVertices[Group],MATCH(Edges[[#This Row],[Vertex 2]],GroupVertices[Vertex],0)),1,1,"")</f>
        <v>8</v>
      </c>
      <c r="AH188" s="105"/>
      <c r="AI188" s="105"/>
      <c r="AJ188" s="105"/>
      <c r="AK188" s="105"/>
      <c r="AL188" s="105"/>
      <c r="AM188" s="105"/>
      <c r="AN188" s="105"/>
      <c r="AO188" s="105"/>
      <c r="AP188" s="105"/>
    </row>
    <row r="189" spans="1:42" ht="15">
      <c r="A189" s="61" t="s">
        <v>397</v>
      </c>
      <c r="B189" s="61" t="s">
        <v>647</v>
      </c>
      <c r="C189" s="62" t="s">
        <v>2891</v>
      </c>
      <c r="D189" s="63">
        <v>5</v>
      </c>
      <c r="E189" s="62"/>
      <c r="F189" s="65">
        <v>25</v>
      </c>
      <c r="G189" s="62"/>
      <c r="H189" s="66"/>
      <c r="I189" s="67"/>
      <c r="J189" s="67"/>
      <c r="K189" s="31" t="s">
        <v>65</v>
      </c>
      <c r="L189" s="68">
        <v>189</v>
      </c>
      <c r="M189" s="68"/>
      <c r="N189" s="69"/>
      <c r="O189" s="84" t="s">
        <v>653</v>
      </c>
      <c r="P189" s="84" t="s">
        <v>215</v>
      </c>
      <c r="Q189" s="88" t="s">
        <v>840</v>
      </c>
      <c r="R189" s="84" t="s">
        <v>397</v>
      </c>
      <c r="S189" s="84" t="s">
        <v>1235</v>
      </c>
      <c r="T189" s="90" t="str">
        <f>HYPERLINK("http://www.youtube.com/channel/UCsHWNy1MRtuZ_COs0cQdPKg")</f>
        <v>http://www.youtube.com/channel/UCsHWNy1MRtuZ_COs0cQdPKg</v>
      </c>
      <c r="U189" s="84"/>
      <c r="V189" s="84" t="s">
        <v>1483</v>
      </c>
      <c r="W189" s="90" t="str">
        <f>HYPERLINK("https://www.youtube.com/watch?v=wx8RJaoVN0M")</f>
        <v>https://www.youtube.com/watch?v=wx8RJaoVN0M</v>
      </c>
      <c r="X189" s="84" t="s">
        <v>1537</v>
      </c>
      <c r="Y189" s="84">
        <v>0</v>
      </c>
      <c r="Z189" s="84" t="s">
        <v>1642</v>
      </c>
      <c r="AA189" s="84" t="s">
        <v>1642</v>
      </c>
      <c r="AB189" s="84"/>
      <c r="AC189" s="84"/>
      <c r="AD189" s="88" t="s">
        <v>1874</v>
      </c>
      <c r="AE189" s="86">
        <v>1</v>
      </c>
      <c r="AF189" s="87" t="str">
        <f>REPLACE(INDEX(GroupVertices[Group],MATCH(Edges[[#This Row],[Vertex 1]],GroupVertices[Vertex],0)),1,1,"")</f>
        <v>8</v>
      </c>
      <c r="AG189" s="87" t="str">
        <f>REPLACE(INDEX(GroupVertices[Group],MATCH(Edges[[#This Row],[Vertex 2]],GroupVertices[Vertex],0)),1,1,"")</f>
        <v>8</v>
      </c>
      <c r="AH189" s="105"/>
      <c r="AI189" s="105"/>
      <c r="AJ189" s="105"/>
      <c r="AK189" s="105"/>
      <c r="AL189" s="105"/>
      <c r="AM189" s="105"/>
      <c r="AN189" s="105"/>
      <c r="AO189" s="105"/>
      <c r="AP189" s="105"/>
    </row>
    <row r="190" spans="1:42" ht="15">
      <c r="A190" s="61" t="s">
        <v>398</v>
      </c>
      <c r="B190" s="61" t="s">
        <v>647</v>
      </c>
      <c r="C190" s="62" t="s">
        <v>2891</v>
      </c>
      <c r="D190" s="63">
        <v>5</v>
      </c>
      <c r="E190" s="62"/>
      <c r="F190" s="65">
        <v>25</v>
      </c>
      <c r="G190" s="62"/>
      <c r="H190" s="66"/>
      <c r="I190" s="67"/>
      <c r="J190" s="67"/>
      <c r="K190" s="31" t="s">
        <v>65</v>
      </c>
      <c r="L190" s="68">
        <v>190</v>
      </c>
      <c r="M190" s="68"/>
      <c r="N190" s="69"/>
      <c r="O190" s="84" t="s">
        <v>653</v>
      </c>
      <c r="P190" s="84" t="s">
        <v>215</v>
      </c>
      <c r="Q190" s="88" t="s">
        <v>841</v>
      </c>
      <c r="R190" s="84" t="s">
        <v>398</v>
      </c>
      <c r="S190" s="84" t="s">
        <v>1236</v>
      </c>
      <c r="T190" s="90" t="str">
        <f>HYPERLINK("http://www.youtube.com/channel/UCVdBn5HpwRCfr0wwU2DSMwQ")</f>
        <v>http://www.youtube.com/channel/UCVdBn5HpwRCfr0wwU2DSMwQ</v>
      </c>
      <c r="U190" s="84"/>
      <c r="V190" s="84" t="s">
        <v>1483</v>
      </c>
      <c r="W190" s="90" t="str">
        <f>HYPERLINK("https://www.youtube.com/watch?v=wx8RJaoVN0M")</f>
        <v>https://www.youtube.com/watch?v=wx8RJaoVN0M</v>
      </c>
      <c r="X190" s="84" t="s">
        <v>1537</v>
      </c>
      <c r="Y190" s="84">
        <v>0</v>
      </c>
      <c r="Z190" s="84" t="s">
        <v>1643</v>
      </c>
      <c r="AA190" s="84" t="s">
        <v>1643</v>
      </c>
      <c r="AB190" s="84"/>
      <c r="AC190" s="84"/>
      <c r="AD190" s="88" t="s">
        <v>1874</v>
      </c>
      <c r="AE190" s="86">
        <v>1</v>
      </c>
      <c r="AF190" s="87" t="str">
        <f>REPLACE(INDEX(GroupVertices[Group],MATCH(Edges[[#This Row],[Vertex 1]],GroupVertices[Vertex],0)),1,1,"")</f>
        <v>8</v>
      </c>
      <c r="AG190" s="87" t="str">
        <f>REPLACE(INDEX(GroupVertices[Group],MATCH(Edges[[#This Row],[Vertex 2]],GroupVertices[Vertex],0)),1,1,"")</f>
        <v>8</v>
      </c>
      <c r="AH190" s="105"/>
      <c r="AI190" s="105"/>
      <c r="AJ190" s="105"/>
      <c r="AK190" s="105"/>
      <c r="AL190" s="105"/>
      <c r="AM190" s="105"/>
      <c r="AN190" s="105"/>
      <c r="AO190" s="105"/>
      <c r="AP190" s="105"/>
    </row>
    <row r="191" spans="1:42" ht="15">
      <c r="A191" s="61" t="s">
        <v>399</v>
      </c>
      <c r="B191" s="61" t="s">
        <v>647</v>
      </c>
      <c r="C191" s="62" t="s">
        <v>2891</v>
      </c>
      <c r="D191" s="63">
        <v>5</v>
      </c>
      <c r="E191" s="62"/>
      <c r="F191" s="65">
        <v>25</v>
      </c>
      <c r="G191" s="62"/>
      <c r="H191" s="66"/>
      <c r="I191" s="67"/>
      <c r="J191" s="67"/>
      <c r="K191" s="31" t="s">
        <v>65</v>
      </c>
      <c r="L191" s="68">
        <v>191</v>
      </c>
      <c r="M191" s="68"/>
      <c r="N191" s="69"/>
      <c r="O191" s="84" t="s">
        <v>653</v>
      </c>
      <c r="P191" s="84" t="s">
        <v>215</v>
      </c>
      <c r="Q191" s="88" t="s">
        <v>842</v>
      </c>
      <c r="R191" s="84" t="s">
        <v>399</v>
      </c>
      <c r="S191" s="84" t="s">
        <v>1237</v>
      </c>
      <c r="T191" s="90" t="str">
        <f>HYPERLINK("http://www.youtube.com/channel/UCeZQY5O5qfFKAIig8QpKeuA")</f>
        <v>http://www.youtube.com/channel/UCeZQY5O5qfFKAIig8QpKeuA</v>
      </c>
      <c r="U191" s="84"/>
      <c r="V191" s="84" t="s">
        <v>1483</v>
      </c>
      <c r="W191" s="90" t="str">
        <f>HYPERLINK("https://www.youtube.com/watch?v=wx8RJaoVN0M")</f>
        <v>https://www.youtube.com/watch?v=wx8RJaoVN0M</v>
      </c>
      <c r="X191" s="84" t="s">
        <v>1537</v>
      </c>
      <c r="Y191" s="84">
        <v>0</v>
      </c>
      <c r="Z191" s="84" t="s">
        <v>1644</v>
      </c>
      <c r="AA191" s="84" t="s">
        <v>1644</v>
      </c>
      <c r="AB191" s="84"/>
      <c r="AC191" s="84"/>
      <c r="AD191" s="88" t="s">
        <v>1874</v>
      </c>
      <c r="AE191" s="86">
        <v>1</v>
      </c>
      <c r="AF191" s="87" t="str">
        <f>REPLACE(INDEX(GroupVertices[Group],MATCH(Edges[[#This Row],[Vertex 1]],GroupVertices[Vertex],0)),1,1,"")</f>
        <v>8</v>
      </c>
      <c r="AG191" s="87" t="str">
        <f>REPLACE(INDEX(GroupVertices[Group],MATCH(Edges[[#This Row],[Vertex 2]],GroupVertices[Vertex],0)),1,1,"")</f>
        <v>8</v>
      </c>
      <c r="AH191" s="105"/>
      <c r="AI191" s="105"/>
      <c r="AJ191" s="105"/>
      <c r="AK191" s="105"/>
      <c r="AL191" s="105"/>
      <c r="AM191" s="105"/>
      <c r="AN191" s="105"/>
      <c r="AO191" s="105"/>
      <c r="AP191" s="105"/>
    </row>
    <row r="192" spans="1:42" ht="15">
      <c r="A192" s="61" t="s">
        <v>400</v>
      </c>
      <c r="B192" s="61" t="s">
        <v>647</v>
      </c>
      <c r="C192" s="62" t="s">
        <v>2891</v>
      </c>
      <c r="D192" s="63">
        <v>5</v>
      </c>
      <c r="E192" s="62"/>
      <c r="F192" s="65">
        <v>25</v>
      </c>
      <c r="G192" s="62"/>
      <c r="H192" s="66"/>
      <c r="I192" s="67"/>
      <c r="J192" s="67"/>
      <c r="K192" s="31" t="s">
        <v>65</v>
      </c>
      <c r="L192" s="68">
        <v>192</v>
      </c>
      <c r="M192" s="68"/>
      <c r="N192" s="69"/>
      <c r="O192" s="84" t="s">
        <v>653</v>
      </c>
      <c r="P192" s="84" t="s">
        <v>215</v>
      </c>
      <c r="Q192" s="88" t="s">
        <v>843</v>
      </c>
      <c r="R192" s="84" t="s">
        <v>400</v>
      </c>
      <c r="S192" s="84" t="s">
        <v>1238</v>
      </c>
      <c r="T192" s="90" t="str">
        <f>HYPERLINK("http://www.youtube.com/channel/UCGpgo7BwxTLBdcM2ftRZYaA")</f>
        <v>http://www.youtube.com/channel/UCGpgo7BwxTLBdcM2ftRZYaA</v>
      </c>
      <c r="U192" s="84"/>
      <c r="V192" s="84" t="s">
        <v>1483</v>
      </c>
      <c r="W192" s="90" t="str">
        <f>HYPERLINK("https://www.youtube.com/watch?v=wx8RJaoVN0M")</f>
        <v>https://www.youtube.com/watch?v=wx8RJaoVN0M</v>
      </c>
      <c r="X192" s="84" t="s">
        <v>1537</v>
      </c>
      <c r="Y192" s="84">
        <v>0</v>
      </c>
      <c r="Z192" s="84" t="s">
        <v>1645</v>
      </c>
      <c r="AA192" s="84" t="s">
        <v>1846</v>
      </c>
      <c r="AB192" s="84"/>
      <c r="AC192" s="84"/>
      <c r="AD192" s="88" t="s">
        <v>1874</v>
      </c>
      <c r="AE192" s="86">
        <v>1</v>
      </c>
      <c r="AF192" s="87" t="str">
        <f>REPLACE(INDEX(GroupVertices[Group],MATCH(Edges[[#This Row],[Vertex 1]],GroupVertices[Vertex],0)),1,1,"")</f>
        <v>8</v>
      </c>
      <c r="AG192" s="87" t="str">
        <f>REPLACE(INDEX(GroupVertices[Group],MATCH(Edges[[#This Row],[Vertex 2]],GroupVertices[Vertex],0)),1,1,"")</f>
        <v>8</v>
      </c>
      <c r="AH192" s="105"/>
      <c r="AI192" s="105"/>
      <c r="AJ192" s="105"/>
      <c r="AK192" s="105"/>
      <c r="AL192" s="105"/>
      <c r="AM192" s="105"/>
      <c r="AN192" s="105"/>
      <c r="AO192" s="105"/>
      <c r="AP192" s="105"/>
    </row>
    <row r="193" spans="1:42" ht="15">
      <c r="A193" s="61" t="s">
        <v>401</v>
      </c>
      <c r="B193" s="61" t="s">
        <v>649</v>
      </c>
      <c r="C193" s="62" t="s">
        <v>2891</v>
      </c>
      <c r="D193" s="63">
        <v>5</v>
      </c>
      <c r="E193" s="62"/>
      <c r="F193" s="65">
        <v>25</v>
      </c>
      <c r="G193" s="62"/>
      <c r="H193" s="66"/>
      <c r="I193" s="67"/>
      <c r="J193" s="67"/>
      <c r="K193" s="31" t="s">
        <v>65</v>
      </c>
      <c r="L193" s="68">
        <v>193</v>
      </c>
      <c r="M193" s="68"/>
      <c r="N193" s="69"/>
      <c r="O193" s="84" t="s">
        <v>653</v>
      </c>
      <c r="P193" s="84" t="s">
        <v>215</v>
      </c>
      <c r="Q193" s="88" t="s">
        <v>844</v>
      </c>
      <c r="R193" s="84" t="s">
        <v>401</v>
      </c>
      <c r="S193" s="84" t="s">
        <v>1239</v>
      </c>
      <c r="T193" s="90" t="str">
        <f>HYPERLINK("http://www.youtube.com/channel/UCPJGkKl7Re6jvJbQcWnDHpQ")</f>
        <v>http://www.youtube.com/channel/UCPJGkKl7Re6jvJbQcWnDHpQ</v>
      </c>
      <c r="U193" s="84"/>
      <c r="V193" s="84" t="s">
        <v>1484</v>
      </c>
      <c r="W193" s="90" t="str">
        <f>HYPERLINK("https://www.youtube.com/watch?v=61Q_HzqcGtk")</f>
        <v>https://www.youtube.com/watch?v=61Q_HzqcGtk</v>
      </c>
      <c r="X193" s="84" t="s">
        <v>1537</v>
      </c>
      <c r="Y193" s="84">
        <v>0</v>
      </c>
      <c r="Z193" s="84" t="s">
        <v>1646</v>
      </c>
      <c r="AA193" s="84" t="s">
        <v>1646</v>
      </c>
      <c r="AB193" s="84"/>
      <c r="AC193" s="84"/>
      <c r="AD193" s="88" t="s">
        <v>1874</v>
      </c>
      <c r="AE193" s="86">
        <v>1</v>
      </c>
      <c r="AF193" s="87" t="str">
        <f>REPLACE(INDEX(GroupVertices[Group],MATCH(Edges[[#This Row],[Vertex 1]],GroupVertices[Vertex],0)),1,1,"")</f>
        <v>7</v>
      </c>
      <c r="AG193" s="87" t="str">
        <f>REPLACE(INDEX(GroupVertices[Group],MATCH(Edges[[#This Row],[Vertex 2]],GroupVertices[Vertex],0)),1,1,"")</f>
        <v>7</v>
      </c>
      <c r="AH193" s="105"/>
      <c r="AI193" s="105"/>
      <c r="AJ193" s="105"/>
      <c r="AK193" s="105"/>
      <c r="AL193" s="105"/>
      <c r="AM193" s="105"/>
      <c r="AN193" s="105"/>
      <c r="AO193" s="105"/>
      <c r="AP193" s="105"/>
    </row>
    <row r="194" spans="1:42" ht="15">
      <c r="A194" s="61" t="s">
        <v>402</v>
      </c>
      <c r="B194" s="61" t="s">
        <v>649</v>
      </c>
      <c r="C194" s="62" t="s">
        <v>2891</v>
      </c>
      <c r="D194" s="63">
        <v>5</v>
      </c>
      <c r="E194" s="62"/>
      <c r="F194" s="65">
        <v>25</v>
      </c>
      <c r="G194" s="62"/>
      <c r="H194" s="66"/>
      <c r="I194" s="67"/>
      <c r="J194" s="67"/>
      <c r="K194" s="31" t="s">
        <v>65</v>
      </c>
      <c r="L194" s="68">
        <v>194</v>
      </c>
      <c r="M194" s="68"/>
      <c r="N194" s="69"/>
      <c r="O194" s="84" t="s">
        <v>653</v>
      </c>
      <c r="P194" s="84" t="s">
        <v>215</v>
      </c>
      <c r="Q194" s="88" t="s">
        <v>845</v>
      </c>
      <c r="R194" s="84" t="s">
        <v>402</v>
      </c>
      <c r="S194" s="84" t="s">
        <v>1240</v>
      </c>
      <c r="T194" s="90" t="str">
        <f>HYPERLINK("http://www.youtube.com/channel/UCFxkTU2ymnoXc2jGW4HaL_A")</f>
        <v>http://www.youtube.com/channel/UCFxkTU2ymnoXc2jGW4HaL_A</v>
      </c>
      <c r="U194" s="84"/>
      <c r="V194" s="84" t="s">
        <v>1484</v>
      </c>
      <c r="W194" s="90" t="str">
        <f>HYPERLINK("https://www.youtube.com/watch?v=61Q_HzqcGtk")</f>
        <v>https://www.youtube.com/watch?v=61Q_HzqcGtk</v>
      </c>
      <c r="X194" s="84" t="s">
        <v>1537</v>
      </c>
      <c r="Y194" s="84">
        <v>0</v>
      </c>
      <c r="Z194" s="84" t="s">
        <v>1647</v>
      </c>
      <c r="AA194" s="84" t="s">
        <v>1647</v>
      </c>
      <c r="AB194" s="84"/>
      <c r="AC194" s="84"/>
      <c r="AD194" s="88" t="s">
        <v>1874</v>
      </c>
      <c r="AE194" s="86">
        <v>1</v>
      </c>
      <c r="AF194" s="87" t="str">
        <f>REPLACE(INDEX(GroupVertices[Group],MATCH(Edges[[#This Row],[Vertex 1]],GroupVertices[Vertex],0)),1,1,"")</f>
        <v>7</v>
      </c>
      <c r="AG194" s="87" t="str">
        <f>REPLACE(INDEX(GroupVertices[Group],MATCH(Edges[[#This Row],[Vertex 2]],GroupVertices[Vertex],0)),1,1,"")</f>
        <v>7</v>
      </c>
      <c r="AH194" s="105"/>
      <c r="AI194" s="105"/>
      <c r="AJ194" s="105"/>
      <c r="AK194" s="105"/>
      <c r="AL194" s="105"/>
      <c r="AM194" s="105"/>
      <c r="AN194" s="105"/>
      <c r="AO194" s="105"/>
      <c r="AP194" s="105"/>
    </row>
    <row r="195" spans="1:42" ht="15">
      <c r="A195" s="61" t="s">
        <v>403</v>
      </c>
      <c r="B195" s="61" t="s">
        <v>649</v>
      </c>
      <c r="C195" s="62" t="s">
        <v>2891</v>
      </c>
      <c r="D195" s="63">
        <v>5</v>
      </c>
      <c r="E195" s="62"/>
      <c r="F195" s="65">
        <v>25</v>
      </c>
      <c r="G195" s="62"/>
      <c r="H195" s="66"/>
      <c r="I195" s="67"/>
      <c r="J195" s="67"/>
      <c r="K195" s="31" t="s">
        <v>65</v>
      </c>
      <c r="L195" s="68">
        <v>195</v>
      </c>
      <c r="M195" s="68"/>
      <c r="N195" s="69"/>
      <c r="O195" s="84" t="s">
        <v>653</v>
      </c>
      <c r="P195" s="84" t="s">
        <v>215</v>
      </c>
      <c r="Q195" s="88" t="s">
        <v>846</v>
      </c>
      <c r="R195" s="84" t="s">
        <v>403</v>
      </c>
      <c r="S195" s="84" t="s">
        <v>1241</v>
      </c>
      <c r="T195" s="90" t="str">
        <f>HYPERLINK("http://www.youtube.com/channel/UChCbpusxdtcFBC19nnBvYWw")</f>
        <v>http://www.youtube.com/channel/UChCbpusxdtcFBC19nnBvYWw</v>
      </c>
      <c r="U195" s="84"/>
      <c r="V195" s="84" t="s">
        <v>1484</v>
      </c>
      <c r="W195" s="90" t="str">
        <f>HYPERLINK("https://www.youtube.com/watch?v=61Q_HzqcGtk")</f>
        <v>https://www.youtube.com/watch?v=61Q_HzqcGtk</v>
      </c>
      <c r="X195" s="84" t="s">
        <v>1537</v>
      </c>
      <c r="Y195" s="84">
        <v>0</v>
      </c>
      <c r="Z195" s="84" t="s">
        <v>1648</v>
      </c>
      <c r="AA195" s="84" t="s">
        <v>1648</v>
      </c>
      <c r="AB195" s="84"/>
      <c r="AC195" s="84"/>
      <c r="AD195" s="88" t="s">
        <v>1874</v>
      </c>
      <c r="AE195" s="86">
        <v>1</v>
      </c>
      <c r="AF195" s="87" t="str">
        <f>REPLACE(INDEX(GroupVertices[Group],MATCH(Edges[[#This Row],[Vertex 1]],GroupVertices[Vertex],0)),1,1,"")</f>
        <v>7</v>
      </c>
      <c r="AG195" s="87" t="str">
        <f>REPLACE(INDEX(GroupVertices[Group],MATCH(Edges[[#This Row],[Vertex 2]],GroupVertices[Vertex],0)),1,1,"")</f>
        <v>7</v>
      </c>
      <c r="AH195" s="105"/>
      <c r="AI195" s="105"/>
      <c r="AJ195" s="105"/>
      <c r="AK195" s="105"/>
      <c r="AL195" s="105"/>
      <c r="AM195" s="105"/>
      <c r="AN195" s="105"/>
      <c r="AO195" s="105"/>
      <c r="AP195" s="105"/>
    </row>
    <row r="196" spans="1:42" ht="15">
      <c r="A196" s="61" t="s">
        <v>404</v>
      </c>
      <c r="B196" s="61" t="s">
        <v>649</v>
      </c>
      <c r="C196" s="62" t="s">
        <v>2891</v>
      </c>
      <c r="D196" s="63">
        <v>5</v>
      </c>
      <c r="E196" s="62"/>
      <c r="F196" s="65">
        <v>25</v>
      </c>
      <c r="G196" s="62"/>
      <c r="H196" s="66"/>
      <c r="I196" s="67"/>
      <c r="J196" s="67"/>
      <c r="K196" s="31" t="s">
        <v>65</v>
      </c>
      <c r="L196" s="68">
        <v>196</v>
      </c>
      <c r="M196" s="68"/>
      <c r="N196" s="69"/>
      <c r="O196" s="84" t="s">
        <v>653</v>
      </c>
      <c r="P196" s="84" t="s">
        <v>215</v>
      </c>
      <c r="Q196" s="88" t="s">
        <v>847</v>
      </c>
      <c r="R196" s="84" t="s">
        <v>404</v>
      </c>
      <c r="S196" s="84" t="s">
        <v>1242</v>
      </c>
      <c r="T196" s="90" t="str">
        <f>HYPERLINK("http://www.youtube.com/channel/UC6ADTGO5lln1FoeyvSO1YRg")</f>
        <v>http://www.youtube.com/channel/UC6ADTGO5lln1FoeyvSO1YRg</v>
      </c>
      <c r="U196" s="84"/>
      <c r="V196" s="84" t="s">
        <v>1484</v>
      </c>
      <c r="W196" s="90" t="str">
        <f>HYPERLINK("https://www.youtube.com/watch?v=61Q_HzqcGtk")</f>
        <v>https://www.youtube.com/watch?v=61Q_HzqcGtk</v>
      </c>
      <c r="X196" s="84" t="s">
        <v>1537</v>
      </c>
      <c r="Y196" s="84">
        <v>1</v>
      </c>
      <c r="Z196" s="93">
        <v>39825.46539351852</v>
      </c>
      <c r="AA196" s="93">
        <v>39825.46539351852</v>
      </c>
      <c r="AB196" s="84"/>
      <c r="AC196" s="84"/>
      <c r="AD196" s="88" t="s">
        <v>1874</v>
      </c>
      <c r="AE196" s="86">
        <v>1</v>
      </c>
      <c r="AF196" s="87" t="str">
        <f>REPLACE(INDEX(GroupVertices[Group],MATCH(Edges[[#This Row],[Vertex 1]],GroupVertices[Vertex],0)),1,1,"")</f>
        <v>7</v>
      </c>
      <c r="AG196" s="87" t="str">
        <f>REPLACE(INDEX(GroupVertices[Group],MATCH(Edges[[#This Row],[Vertex 2]],GroupVertices[Vertex],0)),1,1,"")</f>
        <v>7</v>
      </c>
      <c r="AH196" s="105"/>
      <c r="AI196" s="105"/>
      <c r="AJ196" s="105"/>
      <c r="AK196" s="105"/>
      <c r="AL196" s="105"/>
      <c r="AM196" s="105"/>
      <c r="AN196" s="105"/>
      <c r="AO196" s="105"/>
      <c r="AP196" s="105"/>
    </row>
    <row r="197" spans="1:42" ht="15">
      <c r="A197" s="61" t="s">
        <v>405</v>
      </c>
      <c r="B197" s="61" t="s">
        <v>649</v>
      </c>
      <c r="C197" s="62" t="s">
        <v>2891</v>
      </c>
      <c r="D197" s="63">
        <v>5</v>
      </c>
      <c r="E197" s="62"/>
      <c r="F197" s="65">
        <v>25</v>
      </c>
      <c r="G197" s="62"/>
      <c r="H197" s="66"/>
      <c r="I197" s="67"/>
      <c r="J197" s="67"/>
      <c r="K197" s="31" t="s">
        <v>65</v>
      </c>
      <c r="L197" s="68">
        <v>197</v>
      </c>
      <c r="M197" s="68"/>
      <c r="N197" s="69"/>
      <c r="O197" s="84" t="s">
        <v>653</v>
      </c>
      <c r="P197" s="84" t="s">
        <v>215</v>
      </c>
      <c r="Q197" s="88" t="s">
        <v>848</v>
      </c>
      <c r="R197" s="84" t="s">
        <v>405</v>
      </c>
      <c r="S197" s="84" t="s">
        <v>1243</v>
      </c>
      <c r="T197" s="90" t="str">
        <f>HYPERLINK("http://www.youtube.com/channel/UCk3TJwfRUWpcD6nsnss91UA")</f>
        <v>http://www.youtube.com/channel/UCk3TJwfRUWpcD6nsnss91UA</v>
      </c>
      <c r="U197" s="84"/>
      <c r="V197" s="84" t="s">
        <v>1484</v>
      </c>
      <c r="W197" s="90" t="str">
        <f>HYPERLINK("https://www.youtube.com/watch?v=61Q_HzqcGtk")</f>
        <v>https://www.youtube.com/watch?v=61Q_HzqcGtk</v>
      </c>
      <c r="X197" s="84" t="s">
        <v>1537</v>
      </c>
      <c r="Y197" s="84">
        <v>0</v>
      </c>
      <c r="Z197" s="84" t="s">
        <v>1649</v>
      </c>
      <c r="AA197" s="84" t="s">
        <v>1649</v>
      </c>
      <c r="AB197" s="84"/>
      <c r="AC197" s="84"/>
      <c r="AD197" s="88" t="s">
        <v>1874</v>
      </c>
      <c r="AE197" s="86">
        <v>1</v>
      </c>
      <c r="AF197" s="87" t="str">
        <f>REPLACE(INDEX(GroupVertices[Group],MATCH(Edges[[#This Row],[Vertex 1]],GroupVertices[Vertex],0)),1,1,"")</f>
        <v>7</v>
      </c>
      <c r="AG197" s="87" t="str">
        <f>REPLACE(INDEX(GroupVertices[Group],MATCH(Edges[[#This Row],[Vertex 2]],GroupVertices[Vertex],0)),1,1,"")</f>
        <v>7</v>
      </c>
      <c r="AH197" s="105"/>
      <c r="AI197" s="105"/>
      <c r="AJ197" s="105"/>
      <c r="AK197" s="105"/>
      <c r="AL197" s="105"/>
      <c r="AM197" s="105"/>
      <c r="AN197" s="105"/>
      <c r="AO197" s="105"/>
      <c r="AP197" s="105"/>
    </row>
    <row r="198" spans="1:42" ht="15">
      <c r="A198" s="61" t="s">
        <v>406</v>
      </c>
      <c r="B198" s="61" t="s">
        <v>649</v>
      </c>
      <c r="C198" s="62" t="s">
        <v>2891</v>
      </c>
      <c r="D198" s="63">
        <v>5</v>
      </c>
      <c r="E198" s="62"/>
      <c r="F198" s="65">
        <v>25</v>
      </c>
      <c r="G198" s="62"/>
      <c r="H198" s="66"/>
      <c r="I198" s="67"/>
      <c r="J198" s="67"/>
      <c r="K198" s="31" t="s">
        <v>65</v>
      </c>
      <c r="L198" s="68">
        <v>198</v>
      </c>
      <c r="M198" s="68"/>
      <c r="N198" s="69"/>
      <c r="O198" s="84" t="s">
        <v>653</v>
      </c>
      <c r="P198" s="84" t="s">
        <v>215</v>
      </c>
      <c r="Q198" s="88" t="s">
        <v>849</v>
      </c>
      <c r="R198" s="84" t="s">
        <v>406</v>
      </c>
      <c r="S198" s="84" t="s">
        <v>1244</v>
      </c>
      <c r="T198" s="90" t="str">
        <f>HYPERLINK("http://www.youtube.com/channel/UC3-VcpO3STysmhD1ViXpbiQ")</f>
        <v>http://www.youtube.com/channel/UC3-VcpO3STysmhD1ViXpbiQ</v>
      </c>
      <c r="U198" s="84"/>
      <c r="V198" s="84" t="s">
        <v>1484</v>
      </c>
      <c r="W198" s="90" t="str">
        <f>HYPERLINK("https://www.youtube.com/watch?v=61Q_HzqcGtk")</f>
        <v>https://www.youtube.com/watch?v=61Q_HzqcGtk</v>
      </c>
      <c r="X198" s="84" t="s">
        <v>1537</v>
      </c>
      <c r="Y198" s="84">
        <v>0</v>
      </c>
      <c r="Z198" s="84" t="s">
        <v>1650</v>
      </c>
      <c r="AA198" s="84" t="s">
        <v>1650</v>
      </c>
      <c r="AB198" s="84"/>
      <c r="AC198" s="84"/>
      <c r="AD198" s="88" t="s">
        <v>1874</v>
      </c>
      <c r="AE198" s="86">
        <v>1</v>
      </c>
      <c r="AF198" s="87" t="str">
        <f>REPLACE(INDEX(GroupVertices[Group],MATCH(Edges[[#This Row],[Vertex 1]],GroupVertices[Vertex],0)),1,1,"")</f>
        <v>7</v>
      </c>
      <c r="AG198" s="87" t="str">
        <f>REPLACE(INDEX(GroupVertices[Group],MATCH(Edges[[#This Row],[Vertex 2]],GroupVertices[Vertex],0)),1,1,"")</f>
        <v>7</v>
      </c>
      <c r="AH198" s="105"/>
      <c r="AI198" s="105"/>
      <c r="AJ198" s="105"/>
      <c r="AK198" s="105"/>
      <c r="AL198" s="105"/>
      <c r="AM198" s="105"/>
      <c r="AN198" s="105"/>
      <c r="AO198" s="105"/>
      <c r="AP198" s="105"/>
    </row>
    <row r="199" spans="1:42" ht="15">
      <c r="A199" s="61" t="s">
        <v>407</v>
      </c>
      <c r="B199" s="61" t="s">
        <v>649</v>
      </c>
      <c r="C199" s="62" t="s">
        <v>2892</v>
      </c>
      <c r="D199" s="63">
        <v>5.833333333333333</v>
      </c>
      <c r="E199" s="62"/>
      <c r="F199" s="65">
        <v>15</v>
      </c>
      <c r="G199" s="62"/>
      <c r="H199" s="66"/>
      <c r="I199" s="67"/>
      <c r="J199" s="67"/>
      <c r="K199" s="31" t="s">
        <v>65</v>
      </c>
      <c r="L199" s="68">
        <v>199</v>
      </c>
      <c r="M199" s="68"/>
      <c r="N199" s="69"/>
      <c r="O199" s="84" t="s">
        <v>653</v>
      </c>
      <c r="P199" s="84" t="s">
        <v>215</v>
      </c>
      <c r="Q199" s="88" t="s">
        <v>850</v>
      </c>
      <c r="R199" s="84" t="s">
        <v>407</v>
      </c>
      <c r="S199" s="84" t="s">
        <v>1245</v>
      </c>
      <c r="T199" s="90" t="str">
        <f>HYPERLINK("http://www.youtube.com/channel/UCfUo6rfr6H6vH7ERTyAgb8w")</f>
        <v>http://www.youtube.com/channel/UCfUo6rfr6H6vH7ERTyAgb8w</v>
      </c>
      <c r="U199" s="84"/>
      <c r="V199" s="84" t="s">
        <v>1484</v>
      </c>
      <c r="W199" s="90" t="str">
        <f>HYPERLINK("https://www.youtube.com/watch?v=61Q_HzqcGtk")</f>
        <v>https://www.youtube.com/watch?v=61Q_HzqcGtk</v>
      </c>
      <c r="X199" s="84" t="s">
        <v>1537</v>
      </c>
      <c r="Y199" s="84">
        <v>0</v>
      </c>
      <c r="Z199" s="93">
        <v>40212.92517361111</v>
      </c>
      <c r="AA199" s="93">
        <v>40212.92517361111</v>
      </c>
      <c r="AB199" s="84"/>
      <c r="AC199" s="84"/>
      <c r="AD199" s="88" t="s">
        <v>1874</v>
      </c>
      <c r="AE199" s="86">
        <v>2</v>
      </c>
      <c r="AF199" s="87" t="str">
        <f>REPLACE(INDEX(GroupVertices[Group],MATCH(Edges[[#This Row],[Vertex 1]],GroupVertices[Vertex],0)),1,1,"")</f>
        <v>7</v>
      </c>
      <c r="AG199" s="87" t="str">
        <f>REPLACE(INDEX(GroupVertices[Group],MATCH(Edges[[#This Row],[Vertex 2]],GroupVertices[Vertex],0)),1,1,"")</f>
        <v>7</v>
      </c>
      <c r="AH199" s="105"/>
      <c r="AI199" s="105"/>
      <c r="AJ199" s="105"/>
      <c r="AK199" s="105"/>
      <c r="AL199" s="105"/>
      <c r="AM199" s="105"/>
      <c r="AN199" s="105"/>
      <c r="AO199" s="105"/>
      <c r="AP199" s="105"/>
    </row>
    <row r="200" spans="1:42" ht="15">
      <c r="A200" s="61" t="s">
        <v>407</v>
      </c>
      <c r="B200" s="61" t="s">
        <v>649</v>
      </c>
      <c r="C200" s="62" t="s">
        <v>2892</v>
      </c>
      <c r="D200" s="63">
        <v>5.833333333333333</v>
      </c>
      <c r="E200" s="62"/>
      <c r="F200" s="65">
        <v>15</v>
      </c>
      <c r="G200" s="62"/>
      <c r="H200" s="66"/>
      <c r="I200" s="67"/>
      <c r="J200" s="67"/>
      <c r="K200" s="31" t="s">
        <v>65</v>
      </c>
      <c r="L200" s="68">
        <v>200</v>
      </c>
      <c r="M200" s="68"/>
      <c r="N200" s="69"/>
      <c r="O200" s="84" t="s">
        <v>653</v>
      </c>
      <c r="P200" s="84" t="s">
        <v>215</v>
      </c>
      <c r="Q200" s="88" t="s">
        <v>851</v>
      </c>
      <c r="R200" s="84" t="s">
        <v>407</v>
      </c>
      <c r="S200" s="84" t="s">
        <v>1245</v>
      </c>
      <c r="T200" s="90" t="str">
        <f>HYPERLINK("http://www.youtube.com/channel/UCfUo6rfr6H6vH7ERTyAgb8w")</f>
        <v>http://www.youtube.com/channel/UCfUo6rfr6H6vH7ERTyAgb8w</v>
      </c>
      <c r="U200" s="84"/>
      <c r="V200" s="84" t="s">
        <v>1484</v>
      </c>
      <c r="W200" s="90" t="str">
        <f>HYPERLINK("https://www.youtube.com/watch?v=61Q_HzqcGtk")</f>
        <v>https://www.youtube.com/watch?v=61Q_HzqcGtk</v>
      </c>
      <c r="X200" s="84" t="s">
        <v>1537</v>
      </c>
      <c r="Y200" s="84">
        <v>0</v>
      </c>
      <c r="Z200" s="84" t="s">
        <v>1651</v>
      </c>
      <c r="AA200" s="84" t="s">
        <v>1651</v>
      </c>
      <c r="AB200" s="84"/>
      <c r="AC200" s="84"/>
      <c r="AD200" s="88" t="s">
        <v>1874</v>
      </c>
      <c r="AE200" s="86">
        <v>2</v>
      </c>
      <c r="AF200" s="87" t="str">
        <f>REPLACE(INDEX(GroupVertices[Group],MATCH(Edges[[#This Row],[Vertex 1]],GroupVertices[Vertex],0)),1,1,"")</f>
        <v>7</v>
      </c>
      <c r="AG200" s="87" t="str">
        <f>REPLACE(INDEX(GroupVertices[Group],MATCH(Edges[[#This Row],[Vertex 2]],GroupVertices[Vertex],0)),1,1,"")</f>
        <v>7</v>
      </c>
      <c r="AH200" s="105"/>
      <c r="AI200" s="105"/>
      <c r="AJ200" s="105"/>
      <c r="AK200" s="105"/>
      <c r="AL200" s="105"/>
      <c r="AM200" s="105"/>
      <c r="AN200" s="105"/>
      <c r="AO200" s="105"/>
      <c r="AP200" s="105"/>
    </row>
    <row r="201" spans="1:42" ht="15">
      <c r="A201" s="61" t="s">
        <v>408</v>
      </c>
      <c r="B201" s="61" t="s">
        <v>649</v>
      </c>
      <c r="C201" s="62" t="s">
        <v>2891</v>
      </c>
      <c r="D201" s="63">
        <v>5</v>
      </c>
      <c r="E201" s="62"/>
      <c r="F201" s="65">
        <v>25</v>
      </c>
      <c r="G201" s="62"/>
      <c r="H201" s="66"/>
      <c r="I201" s="67"/>
      <c r="J201" s="67"/>
      <c r="K201" s="31" t="s">
        <v>65</v>
      </c>
      <c r="L201" s="68">
        <v>201</v>
      </c>
      <c r="M201" s="68"/>
      <c r="N201" s="69"/>
      <c r="O201" s="84" t="s">
        <v>653</v>
      </c>
      <c r="P201" s="84" t="s">
        <v>215</v>
      </c>
      <c r="Q201" s="88" t="s">
        <v>852</v>
      </c>
      <c r="R201" s="84" t="s">
        <v>408</v>
      </c>
      <c r="S201" s="84" t="s">
        <v>1246</v>
      </c>
      <c r="T201" s="90" t="str">
        <f>HYPERLINK("http://www.youtube.com/channel/UC3pADvUbl5ANFy1cZmYrIMQ")</f>
        <v>http://www.youtube.com/channel/UC3pADvUbl5ANFy1cZmYrIMQ</v>
      </c>
      <c r="U201" s="84"/>
      <c r="V201" s="84" t="s">
        <v>1484</v>
      </c>
      <c r="W201" s="90" t="str">
        <f>HYPERLINK("https://www.youtube.com/watch?v=61Q_HzqcGtk")</f>
        <v>https://www.youtube.com/watch?v=61Q_HzqcGtk</v>
      </c>
      <c r="X201" s="84" t="s">
        <v>1537</v>
      </c>
      <c r="Y201" s="84">
        <v>0</v>
      </c>
      <c r="Z201" s="93">
        <v>41001.516701388886</v>
      </c>
      <c r="AA201" s="93">
        <v>41001.516701388886</v>
      </c>
      <c r="AB201" s="84"/>
      <c r="AC201" s="84"/>
      <c r="AD201" s="88" t="s">
        <v>1874</v>
      </c>
      <c r="AE201" s="86">
        <v>1</v>
      </c>
      <c r="AF201" s="87" t="str">
        <f>REPLACE(INDEX(GroupVertices[Group],MATCH(Edges[[#This Row],[Vertex 1]],GroupVertices[Vertex],0)),1,1,"")</f>
        <v>7</v>
      </c>
      <c r="AG201" s="87" t="str">
        <f>REPLACE(INDEX(GroupVertices[Group],MATCH(Edges[[#This Row],[Vertex 2]],GroupVertices[Vertex],0)),1,1,"")</f>
        <v>7</v>
      </c>
      <c r="AH201" s="105"/>
      <c r="AI201" s="105"/>
      <c r="AJ201" s="105"/>
      <c r="AK201" s="105"/>
      <c r="AL201" s="105"/>
      <c r="AM201" s="105"/>
      <c r="AN201" s="105"/>
      <c r="AO201" s="105"/>
      <c r="AP201" s="105"/>
    </row>
    <row r="202" spans="1:42" ht="15">
      <c r="A202" s="61" t="s">
        <v>409</v>
      </c>
      <c r="B202" s="61" t="s">
        <v>649</v>
      </c>
      <c r="C202" s="62" t="s">
        <v>2891</v>
      </c>
      <c r="D202" s="63">
        <v>5</v>
      </c>
      <c r="E202" s="62"/>
      <c r="F202" s="65">
        <v>25</v>
      </c>
      <c r="G202" s="62"/>
      <c r="H202" s="66"/>
      <c r="I202" s="67"/>
      <c r="J202" s="67"/>
      <c r="K202" s="31" t="s">
        <v>65</v>
      </c>
      <c r="L202" s="68">
        <v>202</v>
      </c>
      <c r="M202" s="68"/>
      <c r="N202" s="69"/>
      <c r="O202" s="84" t="s">
        <v>653</v>
      </c>
      <c r="P202" s="84" t="s">
        <v>215</v>
      </c>
      <c r="Q202" s="88" t="s">
        <v>853</v>
      </c>
      <c r="R202" s="84" t="s">
        <v>409</v>
      </c>
      <c r="S202" s="84" t="s">
        <v>1247</v>
      </c>
      <c r="T202" s="90" t="str">
        <f>HYPERLINK("http://www.youtube.com/channel/UC6y-fUkvvq-553UENJ0ShMw")</f>
        <v>http://www.youtube.com/channel/UC6y-fUkvvq-553UENJ0ShMw</v>
      </c>
      <c r="U202" s="84"/>
      <c r="V202" s="84" t="s">
        <v>1484</v>
      </c>
      <c r="W202" s="90" t="str">
        <f>HYPERLINK("https://www.youtube.com/watch?v=61Q_HzqcGtk")</f>
        <v>https://www.youtube.com/watch?v=61Q_HzqcGtk</v>
      </c>
      <c r="X202" s="84" t="s">
        <v>1537</v>
      </c>
      <c r="Y202" s="84">
        <v>0</v>
      </c>
      <c r="Z202" s="84" t="s">
        <v>1652</v>
      </c>
      <c r="AA202" s="84" t="s">
        <v>1652</v>
      </c>
      <c r="AB202" s="84"/>
      <c r="AC202" s="84"/>
      <c r="AD202" s="88" t="s">
        <v>1874</v>
      </c>
      <c r="AE202" s="86">
        <v>1</v>
      </c>
      <c r="AF202" s="87" t="str">
        <f>REPLACE(INDEX(GroupVertices[Group],MATCH(Edges[[#This Row],[Vertex 1]],GroupVertices[Vertex],0)),1,1,"")</f>
        <v>7</v>
      </c>
      <c r="AG202" s="87" t="str">
        <f>REPLACE(INDEX(GroupVertices[Group],MATCH(Edges[[#This Row],[Vertex 2]],GroupVertices[Vertex],0)),1,1,"")</f>
        <v>7</v>
      </c>
      <c r="AH202" s="105"/>
      <c r="AI202" s="105"/>
      <c r="AJ202" s="105"/>
      <c r="AK202" s="105"/>
      <c r="AL202" s="105"/>
      <c r="AM202" s="105"/>
      <c r="AN202" s="105"/>
      <c r="AO202" s="105"/>
      <c r="AP202" s="105"/>
    </row>
    <row r="203" spans="1:42" ht="15">
      <c r="A203" s="61" t="s">
        <v>410</v>
      </c>
      <c r="B203" s="61" t="s">
        <v>649</v>
      </c>
      <c r="C203" s="62" t="s">
        <v>2891</v>
      </c>
      <c r="D203" s="63">
        <v>5</v>
      </c>
      <c r="E203" s="62"/>
      <c r="F203" s="65">
        <v>25</v>
      </c>
      <c r="G203" s="62"/>
      <c r="H203" s="66"/>
      <c r="I203" s="67"/>
      <c r="J203" s="67"/>
      <c r="K203" s="31" t="s">
        <v>65</v>
      </c>
      <c r="L203" s="68">
        <v>203</v>
      </c>
      <c r="M203" s="68"/>
      <c r="N203" s="69"/>
      <c r="O203" s="84" t="s">
        <v>653</v>
      </c>
      <c r="P203" s="84" t="s">
        <v>215</v>
      </c>
      <c r="Q203" s="88" t="s">
        <v>854</v>
      </c>
      <c r="R203" s="84" t="s">
        <v>410</v>
      </c>
      <c r="S203" s="84" t="s">
        <v>1248</v>
      </c>
      <c r="T203" s="90" t="str">
        <f>HYPERLINK("http://www.youtube.com/channel/UCOURAi9rQpmQOnDBx2q9Z5A")</f>
        <v>http://www.youtube.com/channel/UCOURAi9rQpmQOnDBx2q9Z5A</v>
      </c>
      <c r="U203" s="84"/>
      <c r="V203" s="84" t="s">
        <v>1484</v>
      </c>
      <c r="W203" s="90" t="str">
        <f>HYPERLINK("https://www.youtube.com/watch?v=61Q_HzqcGtk")</f>
        <v>https://www.youtube.com/watch?v=61Q_HzqcGtk</v>
      </c>
      <c r="X203" s="84" t="s">
        <v>1537</v>
      </c>
      <c r="Y203" s="84">
        <v>0</v>
      </c>
      <c r="Z203" s="84" t="s">
        <v>1653</v>
      </c>
      <c r="AA203" s="84" t="s">
        <v>1653</v>
      </c>
      <c r="AB203" s="84"/>
      <c r="AC203" s="84"/>
      <c r="AD203" s="88" t="s">
        <v>1874</v>
      </c>
      <c r="AE203" s="86">
        <v>1</v>
      </c>
      <c r="AF203" s="87" t="str">
        <f>REPLACE(INDEX(GroupVertices[Group],MATCH(Edges[[#This Row],[Vertex 1]],GroupVertices[Vertex],0)),1,1,"")</f>
        <v>7</v>
      </c>
      <c r="AG203" s="87" t="str">
        <f>REPLACE(INDEX(GroupVertices[Group],MATCH(Edges[[#This Row],[Vertex 2]],GroupVertices[Vertex],0)),1,1,"")</f>
        <v>7</v>
      </c>
      <c r="AH203" s="105"/>
      <c r="AI203" s="105"/>
      <c r="AJ203" s="105"/>
      <c r="AK203" s="105"/>
      <c r="AL203" s="105"/>
      <c r="AM203" s="105"/>
      <c r="AN203" s="105"/>
      <c r="AO203" s="105"/>
      <c r="AP203" s="105"/>
    </row>
    <row r="204" spans="1:42" ht="15">
      <c r="A204" s="61" t="s">
        <v>411</v>
      </c>
      <c r="B204" s="61" t="s">
        <v>649</v>
      </c>
      <c r="C204" s="62" t="s">
        <v>2891</v>
      </c>
      <c r="D204" s="63">
        <v>5</v>
      </c>
      <c r="E204" s="62"/>
      <c r="F204" s="65">
        <v>25</v>
      </c>
      <c r="G204" s="62"/>
      <c r="H204" s="66"/>
      <c r="I204" s="67"/>
      <c r="J204" s="67"/>
      <c r="K204" s="31" t="s">
        <v>65</v>
      </c>
      <c r="L204" s="68">
        <v>204</v>
      </c>
      <c r="M204" s="68"/>
      <c r="N204" s="69"/>
      <c r="O204" s="84" t="s">
        <v>653</v>
      </c>
      <c r="P204" s="84" t="s">
        <v>215</v>
      </c>
      <c r="Q204" s="88" t="s">
        <v>855</v>
      </c>
      <c r="R204" s="84" t="s">
        <v>411</v>
      </c>
      <c r="S204" s="84" t="s">
        <v>1249</v>
      </c>
      <c r="T204" s="90" t="str">
        <f>HYPERLINK("http://www.youtube.com/channel/UCw2TBAxkbC12wt1bnUmbm1w")</f>
        <v>http://www.youtube.com/channel/UCw2TBAxkbC12wt1bnUmbm1w</v>
      </c>
      <c r="U204" s="84"/>
      <c r="V204" s="84" t="s">
        <v>1484</v>
      </c>
      <c r="W204" s="90" t="str">
        <f>HYPERLINK("https://www.youtube.com/watch?v=61Q_HzqcGtk")</f>
        <v>https://www.youtube.com/watch?v=61Q_HzqcGtk</v>
      </c>
      <c r="X204" s="84" t="s">
        <v>1537</v>
      </c>
      <c r="Y204" s="84">
        <v>0</v>
      </c>
      <c r="Z204" s="93">
        <v>41313.658472222225</v>
      </c>
      <c r="AA204" s="93">
        <v>41313.658472222225</v>
      </c>
      <c r="AB204" s="84"/>
      <c r="AC204" s="84"/>
      <c r="AD204" s="88" t="s">
        <v>1874</v>
      </c>
      <c r="AE204" s="86">
        <v>1</v>
      </c>
      <c r="AF204" s="87" t="str">
        <f>REPLACE(INDEX(GroupVertices[Group],MATCH(Edges[[#This Row],[Vertex 1]],GroupVertices[Vertex],0)),1,1,"")</f>
        <v>7</v>
      </c>
      <c r="AG204" s="87" t="str">
        <f>REPLACE(INDEX(GroupVertices[Group],MATCH(Edges[[#This Row],[Vertex 2]],GroupVertices[Vertex],0)),1,1,"")</f>
        <v>7</v>
      </c>
      <c r="AH204" s="105"/>
      <c r="AI204" s="105"/>
      <c r="AJ204" s="105"/>
      <c r="AK204" s="105"/>
      <c r="AL204" s="105"/>
      <c r="AM204" s="105"/>
      <c r="AN204" s="105"/>
      <c r="AO204" s="105"/>
      <c r="AP204" s="105"/>
    </row>
    <row r="205" spans="1:42" ht="15">
      <c r="A205" s="61" t="s">
        <v>412</v>
      </c>
      <c r="B205" s="61" t="s">
        <v>649</v>
      </c>
      <c r="C205" s="62" t="s">
        <v>2891</v>
      </c>
      <c r="D205" s="63">
        <v>5</v>
      </c>
      <c r="E205" s="62"/>
      <c r="F205" s="65">
        <v>25</v>
      </c>
      <c r="G205" s="62"/>
      <c r="H205" s="66"/>
      <c r="I205" s="67"/>
      <c r="J205" s="67"/>
      <c r="K205" s="31" t="s">
        <v>65</v>
      </c>
      <c r="L205" s="68">
        <v>205</v>
      </c>
      <c r="M205" s="68"/>
      <c r="N205" s="69"/>
      <c r="O205" s="84" t="s">
        <v>653</v>
      </c>
      <c r="P205" s="84" t="s">
        <v>215</v>
      </c>
      <c r="Q205" s="88" t="s">
        <v>856</v>
      </c>
      <c r="R205" s="84" t="s">
        <v>412</v>
      </c>
      <c r="S205" s="84" t="s">
        <v>1250</v>
      </c>
      <c r="T205" s="90" t="str">
        <f>HYPERLINK("http://www.youtube.com/channel/UCoFKSGQGP8P92wFg0FXWMJA")</f>
        <v>http://www.youtube.com/channel/UCoFKSGQGP8P92wFg0FXWMJA</v>
      </c>
      <c r="U205" s="84"/>
      <c r="V205" s="84" t="s">
        <v>1484</v>
      </c>
      <c r="W205" s="90" t="str">
        <f>HYPERLINK("https://www.youtube.com/watch?v=61Q_HzqcGtk")</f>
        <v>https://www.youtube.com/watch?v=61Q_HzqcGtk</v>
      </c>
      <c r="X205" s="84" t="s">
        <v>1537</v>
      </c>
      <c r="Y205" s="84">
        <v>0</v>
      </c>
      <c r="Z205" s="84" t="s">
        <v>1654</v>
      </c>
      <c r="AA205" s="84" t="s">
        <v>1654</v>
      </c>
      <c r="AB205" s="84"/>
      <c r="AC205" s="84"/>
      <c r="AD205" s="88" t="s">
        <v>1874</v>
      </c>
      <c r="AE205" s="86">
        <v>1</v>
      </c>
      <c r="AF205" s="87" t="str">
        <f>REPLACE(INDEX(GroupVertices[Group],MATCH(Edges[[#This Row],[Vertex 1]],GroupVertices[Vertex],0)),1,1,"")</f>
        <v>7</v>
      </c>
      <c r="AG205" s="87" t="str">
        <f>REPLACE(INDEX(GroupVertices[Group],MATCH(Edges[[#This Row],[Vertex 2]],GroupVertices[Vertex],0)),1,1,"")</f>
        <v>7</v>
      </c>
      <c r="AH205" s="105"/>
      <c r="AI205" s="105"/>
      <c r="AJ205" s="105"/>
      <c r="AK205" s="105"/>
      <c r="AL205" s="105"/>
      <c r="AM205" s="105"/>
      <c r="AN205" s="105"/>
      <c r="AO205" s="105"/>
      <c r="AP205" s="105"/>
    </row>
    <row r="206" spans="1:42" ht="15">
      <c r="A206" s="61" t="s">
        <v>413</v>
      </c>
      <c r="B206" s="61" t="s">
        <v>649</v>
      </c>
      <c r="C206" s="62" t="s">
        <v>2891</v>
      </c>
      <c r="D206" s="63">
        <v>5</v>
      </c>
      <c r="E206" s="62"/>
      <c r="F206" s="65">
        <v>25</v>
      </c>
      <c r="G206" s="62"/>
      <c r="H206" s="66"/>
      <c r="I206" s="67"/>
      <c r="J206" s="67"/>
      <c r="K206" s="31" t="s">
        <v>65</v>
      </c>
      <c r="L206" s="68">
        <v>206</v>
      </c>
      <c r="M206" s="68"/>
      <c r="N206" s="69"/>
      <c r="O206" s="84" t="s">
        <v>653</v>
      </c>
      <c r="P206" s="84" t="s">
        <v>215</v>
      </c>
      <c r="Q206" s="88" t="s">
        <v>857</v>
      </c>
      <c r="R206" s="84" t="s">
        <v>413</v>
      </c>
      <c r="S206" s="84" t="s">
        <v>1251</v>
      </c>
      <c r="T206" s="90" t="str">
        <f>HYPERLINK("http://www.youtube.com/channel/UCDnI6cZ3AdUPrKWtbUDRc0w")</f>
        <v>http://www.youtube.com/channel/UCDnI6cZ3AdUPrKWtbUDRc0w</v>
      </c>
      <c r="U206" s="84"/>
      <c r="V206" s="84" t="s">
        <v>1484</v>
      </c>
      <c r="W206" s="90" t="str">
        <f>HYPERLINK("https://www.youtube.com/watch?v=61Q_HzqcGtk")</f>
        <v>https://www.youtube.com/watch?v=61Q_HzqcGtk</v>
      </c>
      <c r="X206" s="84" t="s">
        <v>1537</v>
      </c>
      <c r="Y206" s="84">
        <v>0</v>
      </c>
      <c r="Z206" s="84" t="s">
        <v>1655</v>
      </c>
      <c r="AA206" s="84" t="s">
        <v>1655</v>
      </c>
      <c r="AB206" s="84"/>
      <c r="AC206" s="84"/>
      <c r="AD206" s="88" t="s">
        <v>1874</v>
      </c>
      <c r="AE206" s="86">
        <v>1</v>
      </c>
      <c r="AF206" s="87" t="str">
        <f>REPLACE(INDEX(GroupVertices[Group],MATCH(Edges[[#This Row],[Vertex 1]],GroupVertices[Vertex],0)),1,1,"")</f>
        <v>7</v>
      </c>
      <c r="AG206" s="87" t="str">
        <f>REPLACE(INDEX(GroupVertices[Group],MATCH(Edges[[#This Row],[Vertex 2]],GroupVertices[Vertex],0)),1,1,"")</f>
        <v>7</v>
      </c>
      <c r="AH206" s="105"/>
      <c r="AI206" s="105"/>
      <c r="AJ206" s="105"/>
      <c r="AK206" s="105"/>
      <c r="AL206" s="105"/>
      <c r="AM206" s="105"/>
      <c r="AN206" s="105"/>
      <c r="AO206" s="105"/>
      <c r="AP206" s="105"/>
    </row>
    <row r="207" spans="1:42" ht="15">
      <c r="A207" s="61" t="s">
        <v>414</v>
      </c>
      <c r="B207" s="61" t="s">
        <v>649</v>
      </c>
      <c r="C207" s="62" t="s">
        <v>2891</v>
      </c>
      <c r="D207" s="63">
        <v>5</v>
      </c>
      <c r="E207" s="62"/>
      <c r="F207" s="65">
        <v>25</v>
      </c>
      <c r="G207" s="62"/>
      <c r="H207" s="66"/>
      <c r="I207" s="67"/>
      <c r="J207" s="67"/>
      <c r="K207" s="31" t="s">
        <v>65</v>
      </c>
      <c r="L207" s="68">
        <v>207</v>
      </c>
      <c r="M207" s="68"/>
      <c r="N207" s="69"/>
      <c r="O207" s="84" t="s">
        <v>653</v>
      </c>
      <c r="P207" s="84" t="s">
        <v>215</v>
      </c>
      <c r="Q207" s="88" t="s">
        <v>858</v>
      </c>
      <c r="R207" s="84" t="s">
        <v>414</v>
      </c>
      <c r="S207" s="84" t="s">
        <v>1252</v>
      </c>
      <c r="T207" s="90" t="str">
        <f>HYPERLINK("http://www.youtube.com/channel/UC1fFSFMfHPKMAxUf4VBsBdQ")</f>
        <v>http://www.youtube.com/channel/UC1fFSFMfHPKMAxUf4VBsBdQ</v>
      </c>
      <c r="U207" s="84"/>
      <c r="V207" s="84" t="s">
        <v>1484</v>
      </c>
      <c r="W207" s="90" t="str">
        <f>HYPERLINK("https://www.youtube.com/watch?v=61Q_HzqcGtk")</f>
        <v>https://www.youtube.com/watch?v=61Q_HzqcGtk</v>
      </c>
      <c r="X207" s="84" t="s">
        <v>1537</v>
      </c>
      <c r="Y207" s="84">
        <v>0</v>
      </c>
      <c r="Z207" s="84" t="s">
        <v>1656</v>
      </c>
      <c r="AA207" s="84" t="s">
        <v>1656</v>
      </c>
      <c r="AB207" s="84"/>
      <c r="AC207" s="84"/>
      <c r="AD207" s="88" t="s">
        <v>1874</v>
      </c>
      <c r="AE207" s="86">
        <v>1</v>
      </c>
      <c r="AF207" s="87" t="str">
        <f>REPLACE(INDEX(GroupVertices[Group],MATCH(Edges[[#This Row],[Vertex 1]],GroupVertices[Vertex],0)),1,1,"")</f>
        <v>7</v>
      </c>
      <c r="AG207" s="87" t="str">
        <f>REPLACE(INDEX(GroupVertices[Group],MATCH(Edges[[#This Row],[Vertex 2]],GroupVertices[Vertex],0)),1,1,"")</f>
        <v>7</v>
      </c>
      <c r="AH207" s="105"/>
      <c r="AI207" s="105"/>
      <c r="AJ207" s="105"/>
      <c r="AK207" s="105"/>
      <c r="AL207" s="105"/>
      <c r="AM207" s="105"/>
      <c r="AN207" s="105"/>
      <c r="AO207" s="105"/>
      <c r="AP207" s="105"/>
    </row>
    <row r="208" spans="1:42" ht="15">
      <c r="A208" s="61" t="s">
        <v>415</v>
      </c>
      <c r="B208" s="61" t="s">
        <v>649</v>
      </c>
      <c r="C208" s="62" t="s">
        <v>2891</v>
      </c>
      <c r="D208" s="63">
        <v>5</v>
      </c>
      <c r="E208" s="62"/>
      <c r="F208" s="65">
        <v>25</v>
      </c>
      <c r="G208" s="62"/>
      <c r="H208" s="66"/>
      <c r="I208" s="67"/>
      <c r="J208" s="67"/>
      <c r="K208" s="31" t="s">
        <v>65</v>
      </c>
      <c r="L208" s="68">
        <v>208</v>
      </c>
      <c r="M208" s="68"/>
      <c r="N208" s="69"/>
      <c r="O208" s="84" t="s">
        <v>653</v>
      </c>
      <c r="P208" s="84" t="s">
        <v>215</v>
      </c>
      <c r="Q208" s="88" t="s">
        <v>859</v>
      </c>
      <c r="R208" s="84" t="s">
        <v>415</v>
      </c>
      <c r="S208" s="84" t="s">
        <v>1253</v>
      </c>
      <c r="T208" s="90" t="str">
        <f>HYPERLINK("http://www.youtube.com/channel/UCoSRMdFpGKiBWV8xaY7u-YA")</f>
        <v>http://www.youtube.com/channel/UCoSRMdFpGKiBWV8xaY7u-YA</v>
      </c>
      <c r="U208" s="84"/>
      <c r="V208" s="84" t="s">
        <v>1484</v>
      </c>
      <c r="W208" s="90" t="str">
        <f>HYPERLINK("https://www.youtube.com/watch?v=61Q_HzqcGtk")</f>
        <v>https://www.youtube.com/watch?v=61Q_HzqcGtk</v>
      </c>
      <c r="X208" s="84" t="s">
        <v>1537</v>
      </c>
      <c r="Y208" s="84">
        <v>0</v>
      </c>
      <c r="Z208" s="84" t="s">
        <v>1657</v>
      </c>
      <c r="AA208" s="84" t="s">
        <v>1657</v>
      </c>
      <c r="AB208" s="84"/>
      <c r="AC208" s="84"/>
      <c r="AD208" s="88" t="s">
        <v>1874</v>
      </c>
      <c r="AE208" s="86">
        <v>1</v>
      </c>
      <c r="AF208" s="87" t="str">
        <f>REPLACE(INDEX(GroupVertices[Group],MATCH(Edges[[#This Row],[Vertex 1]],GroupVertices[Vertex],0)),1,1,"")</f>
        <v>7</v>
      </c>
      <c r="AG208" s="87" t="str">
        <f>REPLACE(INDEX(GroupVertices[Group],MATCH(Edges[[#This Row],[Vertex 2]],GroupVertices[Vertex],0)),1,1,"")</f>
        <v>7</v>
      </c>
      <c r="AH208" s="105"/>
      <c r="AI208" s="105"/>
      <c r="AJ208" s="105"/>
      <c r="AK208" s="105"/>
      <c r="AL208" s="105"/>
      <c r="AM208" s="105"/>
      <c r="AN208" s="105"/>
      <c r="AO208" s="105"/>
      <c r="AP208" s="105"/>
    </row>
    <row r="209" spans="1:42" ht="15">
      <c r="A209" s="61" t="s">
        <v>416</v>
      </c>
      <c r="B209" s="61" t="s">
        <v>649</v>
      </c>
      <c r="C209" s="62" t="s">
        <v>2891</v>
      </c>
      <c r="D209" s="63">
        <v>5</v>
      </c>
      <c r="E209" s="62"/>
      <c r="F209" s="65">
        <v>25</v>
      </c>
      <c r="G209" s="62"/>
      <c r="H209" s="66"/>
      <c r="I209" s="67"/>
      <c r="J209" s="67"/>
      <c r="K209" s="31" t="s">
        <v>65</v>
      </c>
      <c r="L209" s="68">
        <v>209</v>
      </c>
      <c r="M209" s="68"/>
      <c r="N209" s="69"/>
      <c r="O209" s="84" t="s">
        <v>653</v>
      </c>
      <c r="P209" s="84" t="s">
        <v>215</v>
      </c>
      <c r="Q209" s="88" t="s">
        <v>860</v>
      </c>
      <c r="R209" s="84" t="s">
        <v>416</v>
      </c>
      <c r="S209" s="84" t="s">
        <v>1254</v>
      </c>
      <c r="T209" s="90" t="str">
        <f>HYPERLINK("http://www.youtube.com/channel/UCFng6Aey2LdahbQEq7nJZMQ")</f>
        <v>http://www.youtube.com/channel/UCFng6Aey2LdahbQEq7nJZMQ</v>
      </c>
      <c r="U209" s="84"/>
      <c r="V209" s="84" t="s">
        <v>1484</v>
      </c>
      <c r="W209" s="90" t="str">
        <f>HYPERLINK("https://www.youtube.com/watch?v=61Q_HzqcGtk")</f>
        <v>https://www.youtube.com/watch?v=61Q_HzqcGtk</v>
      </c>
      <c r="X209" s="84" t="s">
        <v>1537</v>
      </c>
      <c r="Y209" s="84">
        <v>0</v>
      </c>
      <c r="Z209" s="84" t="s">
        <v>1658</v>
      </c>
      <c r="AA209" s="84" t="s">
        <v>1847</v>
      </c>
      <c r="AB209" s="84"/>
      <c r="AC209" s="84"/>
      <c r="AD209" s="88" t="s">
        <v>1874</v>
      </c>
      <c r="AE209" s="86">
        <v>1</v>
      </c>
      <c r="AF209" s="87" t="str">
        <f>REPLACE(INDEX(GroupVertices[Group],MATCH(Edges[[#This Row],[Vertex 1]],GroupVertices[Vertex],0)),1,1,"")</f>
        <v>7</v>
      </c>
      <c r="AG209" s="87" t="str">
        <f>REPLACE(INDEX(GroupVertices[Group],MATCH(Edges[[#This Row],[Vertex 2]],GroupVertices[Vertex],0)),1,1,"")</f>
        <v>7</v>
      </c>
      <c r="AH209" s="105"/>
      <c r="AI209" s="105"/>
      <c r="AJ209" s="105"/>
      <c r="AK209" s="105"/>
      <c r="AL209" s="105"/>
      <c r="AM209" s="105"/>
      <c r="AN209" s="105"/>
      <c r="AO209" s="105"/>
      <c r="AP209" s="105"/>
    </row>
    <row r="210" spans="1:42" ht="15">
      <c r="A210" s="61" t="s">
        <v>417</v>
      </c>
      <c r="B210" s="61" t="s">
        <v>649</v>
      </c>
      <c r="C210" s="62" t="s">
        <v>2891</v>
      </c>
      <c r="D210" s="63">
        <v>5</v>
      </c>
      <c r="E210" s="62"/>
      <c r="F210" s="65">
        <v>25</v>
      </c>
      <c r="G210" s="62"/>
      <c r="H210" s="66"/>
      <c r="I210" s="67"/>
      <c r="J210" s="67"/>
      <c r="K210" s="31" t="s">
        <v>65</v>
      </c>
      <c r="L210" s="68">
        <v>210</v>
      </c>
      <c r="M210" s="68"/>
      <c r="N210" s="69"/>
      <c r="O210" s="84" t="s">
        <v>653</v>
      </c>
      <c r="P210" s="84" t="s">
        <v>215</v>
      </c>
      <c r="Q210" s="88" t="s">
        <v>861</v>
      </c>
      <c r="R210" s="84" t="s">
        <v>417</v>
      </c>
      <c r="S210" s="84" t="s">
        <v>1255</v>
      </c>
      <c r="T210" s="90" t="str">
        <f>HYPERLINK("http://www.youtube.com/channel/UCqZ6CO4dA0WitpXJlANghRQ")</f>
        <v>http://www.youtube.com/channel/UCqZ6CO4dA0WitpXJlANghRQ</v>
      </c>
      <c r="U210" s="84"/>
      <c r="V210" s="84" t="s">
        <v>1484</v>
      </c>
      <c r="W210" s="90" t="str">
        <f>HYPERLINK("https://www.youtube.com/watch?v=61Q_HzqcGtk")</f>
        <v>https://www.youtube.com/watch?v=61Q_HzqcGtk</v>
      </c>
      <c r="X210" s="84" t="s">
        <v>1537</v>
      </c>
      <c r="Y210" s="84">
        <v>0</v>
      </c>
      <c r="Z210" s="93">
        <v>43142.82090277778</v>
      </c>
      <c r="AA210" s="93">
        <v>43142.82090277778</v>
      </c>
      <c r="AB210" s="84"/>
      <c r="AC210" s="84"/>
      <c r="AD210" s="88" t="s">
        <v>1874</v>
      </c>
      <c r="AE210" s="86">
        <v>1</v>
      </c>
      <c r="AF210" s="87" t="str">
        <f>REPLACE(INDEX(GroupVertices[Group],MATCH(Edges[[#This Row],[Vertex 1]],GroupVertices[Vertex],0)),1,1,"")</f>
        <v>7</v>
      </c>
      <c r="AG210" s="87" t="str">
        <f>REPLACE(INDEX(GroupVertices[Group],MATCH(Edges[[#This Row],[Vertex 2]],GroupVertices[Vertex],0)),1,1,"")</f>
        <v>7</v>
      </c>
      <c r="AH210" s="105"/>
      <c r="AI210" s="105"/>
      <c r="AJ210" s="105"/>
      <c r="AK210" s="105"/>
      <c r="AL210" s="105"/>
      <c r="AM210" s="105"/>
      <c r="AN210" s="105"/>
      <c r="AO210" s="105"/>
      <c r="AP210" s="105"/>
    </row>
    <row r="211" spans="1:42" ht="15">
      <c r="A211" s="61" t="s">
        <v>418</v>
      </c>
      <c r="B211" s="61" t="s">
        <v>649</v>
      </c>
      <c r="C211" s="62" t="s">
        <v>2892</v>
      </c>
      <c r="D211" s="63">
        <v>5.833333333333333</v>
      </c>
      <c r="E211" s="62"/>
      <c r="F211" s="65">
        <v>15</v>
      </c>
      <c r="G211" s="62"/>
      <c r="H211" s="66"/>
      <c r="I211" s="67"/>
      <c r="J211" s="67"/>
      <c r="K211" s="31" t="s">
        <v>65</v>
      </c>
      <c r="L211" s="68">
        <v>211</v>
      </c>
      <c r="M211" s="68"/>
      <c r="N211" s="69"/>
      <c r="O211" s="84" t="s">
        <v>653</v>
      </c>
      <c r="P211" s="84" t="s">
        <v>215</v>
      </c>
      <c r="Q211" s="88" t="s">
        <v>862</v>
      </c>
      <c r="R211" s="84" t="s">
        <v>418</v>
      </c>
      <c r="S211" s="84" t="s">
        <v>1256</v>
      </c>
      <c r="T211" s="90" t="str">
        <f>HYPERLINK("http://www.youtube.com/channel/UC-RVv2qf0EqYivlNPPlj6xQ")</f>
        <v>http://www.youtube.com/channel/UC-RVv2qf0EqYivlNPPlj6xQ</v>
      </c>
      <c r="U211" s="84"/>
      <c r="V211" s="84" t="s">
        <v>1484</v>
      </c>
      <c r="W211" s="90" t="str">
        <f>HYPERLINK("https://www.youtube.com/watch?v=61Q_HzqcGtk")</f>
        <v>https://www.youtube.com/watch?v=61Q_HzqcGtk</v>
      </c>
      <c r="X211" s="84" t="s">
        <v>1537</v>
      </c>
      <c r="Y211" s="84">
        <v>0</v>
      </c>
      <c r="Z211" s="84" t="s">
        <v>1659</v>
      </c>
      <c r="AA211" s="84" t="s">
        <v>1659</v>
      </c>
      <c r="AB211" s="84"/>
      <c r="AC211" s="84"/>
      <c r="AD211" s="88" t="s">
        <v>1874</v>
      </c>
      <c r="AE211" s="86">
        <v>2</v>
      </c>
      <c r="AF211" s="87" t="str">
        <f>REPLACE(INDEX(GroupVertices[Group],MATCH(Edges[[#This Row],[Vertex 1]],GroupVertices[Vertex],0)),1,1,"")</f>
        <v>7</v>
      </c>
      <c r="AG211" s="87" t="str">
        <f>REPLACE(INDEX(GroupVertices[Group],MATCH(Edges[[#This Row],[Vertex 2]],GroupVertices[Vertex],0)),1,1,"")</f>
        <v>7</v>
      </c>
      <c r="AH211" s="105"/>
      <c r="AI211" s="105"/>
      <c r="AJ211" s="105"/>
      <c r="AK211" s="105"/>
      <c r="AL211" s="105"/>
      <c r="AM211" s="105"/>
      <c r="AN211" s="105"/>
      <c r="AO211" s="105"/>
      <c r="AP211" s="105"/>
    </row>
    <row r="212" spans="1:42" ht="15">
      <c r="A212" s="61" t="s">
        <v>418</v>
      </c>
      <c r="B212" s="61" t="s">
        <v>649</v>
      </c>
      <c r="C212" s="62" t="s">
        <v>2892</v>
      </c>
      <c r="D212" s="63">
        <v>5.833333333333333</v>
      </c>
      <c r="E212" s="62"/>
      <c r="F212" s="65">
        <v>15</v>
      </c>
      <c r="G212" s="62"/>
      <c r="H212" s="66"/>
      <c r="I212" s="67"/>
      <c r="J212" s="67"/>
      <c r="K212" s="31" t="s">
        <v>65</v>
      </c>
      <c r="L212" s="68">
        <v>212</v>
      </c>
      <c r="M212" s="68"/>
      <c r="N212" s="69"/>
      <c r="O212" s="84" t="s">
        <v>653</v>
      </c>
      <c r="P212" s="84" t="s">
        <v>215</v>
      </c>
      <c r="Q212" s="88" t="s">
        <v>863</v>
      </c>
      <c r="R212" s="84" t="s">
        <v>418</v>
      </c>
      <c r="S212" s="84" t="s">
        <v>1256</v>
      </c>
      <c r="T212" s="90" t="str">
        <f>HYPERLINK("http://www.youtube.com/channel/UC-RVv2qf0EqYivlNPPlj6xQ")</f>
        <v>http://www.youtube.com/channel/UC-RVv2qf0EqYivlNPPlj6xQ</v>
      </c>
      <c r="U212" s="84"/>
      <c r="V212" s="84" t="s">
        <v>1484</v>
      </c>
      <c r="W212" s="90" t="str">
        <f>HYPERLINK("https://www.youtube.com/watch?v=61Q_HzqcGtk")</f>
        <v>https://www.youtube.com/watch?v=61Q_HzqcGtk</v>
      </c>
      <c r="X212" s="84" t="s">
        <v>1537</v>
      </c>
      <c r="Y212" s="84">
        <v>0</v>
      </c>
      <c r="Z212" s="84" t="s">
        <v>1660</v>
      </c>
      <c r="AA212" s="84" t="s">
        <v>1660</v>
      </c>
      <c r="AB212" s="84"/>
      <c r="AC212" s="84"/>
      <c r="AD212" s="88" t="s">
        <v>1874</v>
      </c>
      <c r="AE212" s="86">
        <v>2</v>
      </c>
      <c r="AF212" s="87" t="str">
        <f>REPLACE(INDEX(GroupVertices[Group],MATCH(Edges[[#This Row],[Vertex 1]],GroupVertices[Vertex],0)),1,1,"")</f>
        <v>7</v>
      </c>
      <c r="AG212" s="87" t="str">
        <f>REPLACE(INDEX(GroupVertices[Group],MATCH(Edges[[#This Row],[Vertex 2]],GroupVertices[Vertex],0)),1,1,"")</f>
        <v>7</v>
      </c>
      <c r="AH212" s="105"/>
      <c r="AI212" s="105"/>
      <c r="AJ212" s="105"/>
      <c r="AK212" s="105"/>
      <c r="AL212" s="105"/>
      <c r="AM212" s="105"/>
      <c r="AN212" s="105"/>
      <c r="AO212" s="105"/>
      <c r="AP212" s="105"/>
    </row>
    <row r="213" spans="1:42" ht="15">
      <c r="A213" s="61" t="s">
        <v>419</v>
      </c>
      <c r="B213" s="61" t="s">
        <v>649</v>
      </c>
      <c r="C213" s="62" t="s">
        <v>2891</v>
      </c>
      <c r="D213" s="63">
        <v>5</v>
      </c>
      <c r="E213" s="62"/>
      <c r="F213" s="65">
        <v>25</v>
      </c>
      <c r="G213" s="62"/>
      <c r="H213" s="66"/>
      <c r="I213" s="67"/>
      <c r="J213" s="67"/>
      <c r="K213" s="31" t="s">
        <v>65</v>
      </c>
      <c r="L213" s="68">
        <v>213</v>
      </c>
      <c r="M213" s="68"/>
      <c r="N213" s="69"/>
      <c r="O213" s="84" t="s">
        <v>653</v>
      </c>
      <c r="P213" s="84" t="s">
        <v>215</v>
      </c>
      <c r="Q213" s="88" t="s">
        <v>864</v>
      </c>
      <c r="R213" s="84" t="s">
        <v>419</v>
      </c>
      <c r="S213" s="84" t="s">
        <v>1257</v>
      </c>
      <c r="T213" s="90" t="str">
        <f>HYPERLINK("http://www.youtube.com/channel/UC19k4LxgCVSjWv7NZOvNeeA")</f>
        <v>http://www.youtube.com/channel/UC19k4LxgCVSjWv7NZOvNeeA</v>
      </c>
      <c r="U213" s="84"/>
      <c r="V213" s="84" t="s">
        <v>1484</v>
      </c>
      <c r="W213" s="90" t="str">
        <f>HYPERLINK("https://www.youtube.com/watch?v=61Q_HzqcGtk")</f>
        <v>https://www.youtube.com/watch?v=61Q_HzqcGtk</v>
      </c>
      <c r="X213" s="84" t="s">
        <v>1537</v>
      </c>
      <c r="Y213" s="84">
        <v>0</v>
      </c>
      <c r="Z213" s="93">
        <v>45083.25821759259</v>
      </c>
      <c r="AA213" s="93">
        <v>45083.25821759259</v>
      </c>
      <c r="AB213" s="84"/>
      <c r="AC213" s="84"/>
      <c r="AD213" s="88" t="s">
        <v>1874</v>
      </c>
      <c r="AE213" s="86">
        <v>1</v>
      </c>
      <c r="AF213" s="87" t="str">
        <f>REPLACE(INDEX(GroupVertices[Group],MATCH(Edges[[#This Row],[Vertex 1]],GroupVertices[Vertex],0)),1,1,"")</f>
        <v>7</v>
      </c>
      <c r="AG213" s="87" t="str">
        <f>REPLACE(INDEX(GroupVertices[Group],MATCH(Edges[[#This Row],[Vertex 2]],GroupVertices[Vertex],0)),1,1,"")</f>
        <v>7</v>
      </c>
      <c r="AH213" s="105"/>
      <c r="AI213" s="105"/>
      <c r="AJ213" s="105"/>
      <c r="AK213" s="105"/>
      <c r="AL213" s="105"/>
      <c r="AM213" s="105"/>
      <c r="AN213" s="105"/>
      <c r="AO213" s="105"/>
      <c r="AP213" s="105"/>
    </row>
    <row r="214" spans="1:42" ht="15">
      <c r="A214" s="61" t="s">
        <v>420</v>
      </c>
      <c r="B214" s="61" t="s">
        <v>628</v>
      </c>
      <c r="C214" s="62" t="s">
        <v>2891</v>
      </c>
      <c r="D214" s="63">
        <v>5</v>
      </c>
      <c r="E214" s="62"/>
      <c r="F214" s="65">
        <v>25</v>
      </c>
      <c r="G214" s="62"/>
      <c r="H214" s="66"/>
      <c r="I214" s="67"/>
      <c r="J214" s="67"/>
      <c r="K214" s="31" t="s">
        <v>65</v>
      </c>
      <c r="L214" s="68">
        <v>214</v>
      </c>
      <c r="M214" s="68"/>
      <c r="N214" s="69"/>
      <c r="O214" s="84" t="s">
        <v>653</v>
      </c>
      <c r="P214" s="84" t="s">
        <v>215</v>
      </c>
      <c r="Q214" s="88" t="s">
        <v>865</v>
      </c>
      <c r="R214" s="84" t="s">
        <v>420</v>
      </c>
      <c r="S214" s="84" t="s">
        <v>1258</v>
      </c>
      <c r="T214" s="90" t="str">
        <f>HYPERLINK("http://www.youtube.com/channel/UCyy9nWYtqw4Tx-bcdntpHsw")</f>
        <v>http://www.youtube.com/channel/UCyy9nWYtqw4Tx-bcdntpHsw</v>
      </c>
      <c r="U214" s="84"/>
      <c r="V214" s="84" t="s">
        <v>1485</v>
      </c>
      <c r="W214" s="90" t="str">
        <f>HYPERLINK("https://www.youtube.com/watch?v=9YuiY3zlglo")</f>
        <v>https://www.youtube.com/watch?v=9YuiY3zlglo</v>
      </c>
      <c r="X214" s="84" t="s">
        <v>1537</v>
      </c>
      <c r="Y214" s="84">
        <v>1</v>
      </c>
      <c r="Z214" s="93">
        <v>44112.530706018515</v>
      </c>
      <c r="AA214" s="93">
        <v>44112.530706018515</v>
      </c>
      <c r="AB214" s="84"/>
      <c r="AC214" s="84"/>
      <c r="AD214" s="88" t="s">
        <v>1874</v>
      </c>
      <c r="AE214" s="86">
        <v>1</v>
      </c>
      <c r="AF214" s="87" t="str">
        <f>REPLACE(INDEX(GroupVertices[Group],MATCH(Edges[[#This Row],[Vertex 1]],GroupVertices[Vertex],0)),1,1,"")</f>
        <v>9</v>
      </c>
      <c r="AG214" s="87" t="str">
        <f>REPLACE(INDEX(GroupVertices[Group],MATCH(Edges[[#This Row],[Vertex 2]],GroupVertices[Vertex],0)),1,1,"")</f>
        <v>9</v>
      </c>
      <c r="AH214" s="105"/>
      <c r="AI214" s="105"/>
      <c r="AJ214" s="105"/>
      <c r="AK214" s="105"/>
      <c r="AL214" s="105"/>
      <c r="AM214" s="105"/>
      <c r="AN214" s="105"/>
      <c r="AO214" s="105"/>
      <c r="AP214" s="105"/>
    </row>
    <row r="215" spans="1:42" ht="15">
      <c r="A215" s="61" t="s">
        <v>421</v>
      </c>
      <c r="B215" s="61" t="s">
        <v>628</v>
      </c>
      <c r="C215" s="62" t="s">
        <v>2891</v>
      </c>
      <c r="D215" s="63">
        <v>5</v>
      </c>
      <c r="E215" s="62"/>
      <c r="F215" s="65">
        <v>25</v>
      </c>
      <c r="G215" s="62"/>
      <c r="H215" s="66"/>
      <c r="I215" s="67"/>
      <c r="J215" s="67"/>
      <c r="K215" s="31" t="s">
        <v>65</v>
      </c>
      <c r="L215" s="68">
        <v>215</v>
      </c>
      <c r="M215" s="68"/>
      <c r="N215" s="69"/>
      <c r="O215" s="84" t="s">
        <v>653</v>
      </c>
      <c r="P215" s="84" t="s">
        <v>215</v>
      </c>
      <c r="Q215" s="88" t="s">
        <v>866</v>
      </c>
      <c r="R215" s="84" t="s">
        <v>421</v>
      </c>
      <c r="S215" s="84" t="s">
        <v>1259</v>
      </c>
      <c r="T215" s="90" t="str">
        <f>HYPERLINK("http://www.youtube.com/channel/UCZ0JaTrkNhmphpDTEvb_-5Q")</f>
        <v>http://www.youtube.com/channel/UCZ0JaTrkNhmphpDTEvb_-5Q</v>
      </c>
      <c r="U215" s="84"/>
      <c r="V215" s="84" t="s">
        <v>1485</v>
      </c>
      <c r="W215" s="90" t="str">
        <f>HYPERLINK("https://www.youtube.com/watch?v=9YuiY3zlglo")</f>
        <v>https://www.youtube.com/watch?v=9YuiY3zlglo</v>
      </c>
      <c r="X215" s="84" t="s">
        <v>1537</v>
      </c>
      <c r="Y215" s="84">
        <v>1</v>
      </c>
      <c r="Z215" s="93">
        <v>44143.58341435185</v>
      </c>
      <c r="AA215" s="93">
        <v>44143.58341435185</v>
      </c>
      <c r="AB215" s="84"/>
      <c r="AC215" s="84"/>
      <c r="AD215" s="88" t="s">
        <v>1874</v>
      </c>
      <c r="AE215" s="86">
        <v>1</v>
      </c>
      <c r="AF215" s="87" t="str">
        <f>REPLACE(INDEX(GroupVertices[Group],MATCH(Edges[[#This Row],[Vertex 1]],GroupVertices[Vertex],0)),1,1,"")</f>
        <v>9</v>
      </c>
      <c r="AG215" s="87" t="str">
        <f>REPLACE(INDEX(GroupVertices[Group],MATCH(Edges[[#This Row],[Vertex 2]],GroupVertices[Vertex],0)),1,1,"")</f>
        <v>9</v>
      </c>
      <c r="AH215" s="105"/>
      <c r="AI215" s="105"/>
      <c r="AJ215" s="105"/>
      <c r="AK215" s="105"/>
      <c r="AL215" s="105"/>
      <c r="AM215" s="105"/>
      <c r="AN215" s="105"/>
      <c r="AO215" s="105"/>
      <c r="AP215" s="105"/>
    </row>
    <row r="216" spans="1:42" ht="15">
      <c r="A216" s="61" t="s">
        <v>422</v>
      </c>
      <c r="B216" s="61" t="s">
        <v>628</v>
      </c>
      <c r="C216" s="62" t="s">
        <v>2891</v>
      </c>
      <c r="D216" s="63">
        <v>5</v>
      </c>
      <c r="E216" s="62"/>
      <c r="F216" s="65">
        <v>25</v>
      </c>
      <c r="G216" s="62"/>
      <c r="H216" s="66"/>
      <c r="I216" s="67"/>
      <c r="J216" s="67"/>
      <c r="K216" s="31" t="s">
        <v>65</v>
      </c>
      <c r="L216" s="68">
        <v>216</v>
      </c>
      <c r="M216" s="68"/>
      <c r="N216" s="69"/>
      <c r="O216" s="84" t="s">
        <v>653</v>
      </c>
      <c r="P216" s="84" t="s">
        <v>215</v>
      </c>
      <c r="Q216" s="88" t="s">
        <v>867</v>
      </c>
      <c r="R216" s="84" t="s">
        <v>422</v>
      </c>
      <c r="S216" s="84" t="s">
        <v>1260</v>
      </c>
      <c r="T216" s="90" t="str">
        <f>HYPERLINK("http://www.youtube.com/channel/UCfQ_XYXvsh7gufKguHc_p5A")</f>
        <v>http://www.youtube.com/channel/UCfQ_XYXvsh7gufKguHc_p5A</v>
      </c>
      <c r="U216" s="84"/>
      <c r="V216" s="84" t="s">
        <v>1485</v>
      </c>
      <c r="W216" s="90" t="str">
        <f>HYPERLINK("https://www.youtube.com/watch?v=9YuiY3zlglo")</f>
        <v>https://www.youtube.com/watch?v=9YuiY3zlglo</v>
      </c>
      <c r="X216" s="84" t="s">
        <v>1537</v>
      </c>
      <c r="Y216" s="84">
        <v>1</v>
      </c>
      <c r="Z216" s="93">
        <v>44021.75929398148</v>
      </c>
      <c r="AA216" s="93">
        <v>44021.75929398148</v>
      </c>
      <c r="AB216" s="84"/>
      <c r="AC216" s="84"/>
      <c r="AD216" s="88" t="s">
        <v>1874</v>
      </c>
      <c r="AE216" s="86">
        <v>1</v>
      </c>
      <c r="AF216" s="87" t="str">
        <f>REPLACE(INDEX(GroupVertices[Group],MATCH(Edges[[#This Row],[Vertex 1]],GroupVertices[Vertex],0)),1,1,"")</f>
        <v>9</v>
      </c>
      <c r="AG216" s="87" t="str">
        <f>REPLACE(INDEX(GroupVertices[Group],MATCH(Edges[[#This Row],[Vertex 2]],GroupVertices[Vertex],0)),1,1,"")</f>
        <v>9</v>
      </c>
      <c r="AH216" s="105"/>
      <c r="AI216" s="105"/>
      <c r="AJ216" s="105"/>
      <c r="AK216" s="105"/>
      <c r="AL216" s="105"/>
      <c r="AM216" s="105"/>
      <c r="AN216" s="105"/>
      <c r="AO216" s="105"/>
      <c r="AP216" s="105"/>
    </row>
    <row r="217" spans="1:42" ht="15">
      <c r="A217" s="61" t="s">
        <v>423</v>
      </c>
      <c r="B217" s="61" t="s">
        <v>628</v>
      </c>
      <c r="C217" s="62" t="s">
        <v>2891</v>
      </c>
      <c r="D217" s="63">
        <v>5</v>
      </c>
      <c r="E217" s="62"/>
      <c r="F217" s="65">
        <v>25</v>
      </c>
      <c r="G217" s="62"/>
      <c r="H217" s="66"/>
      <c r="I217" s="67"/>
      <c r="J217" s="67"/>
      <c r="K217" s="31" t="s">
        <v>65</v>
      </c>
      <c r="L217" s="68">
        <v>217</v>
      </c>
      <c r="M217" s="68"/>
      <c r="N217" s="69"/>
      <c r="O217" s="84" t="s">
        <v>653</v>
      </c>
      <c r="P217" s="84" t="s">
        <v>215</v>
      </c>
      <c r="Q217" s="88" t="s">
        <v>868</v>
      </c>
      <c r="R217" s="84" t="s">
        <v>423</v>
      </c>
      <c r="S217" s="84" t="s">
        <v>1261</v>
      </c>
      <c r="T217" s="90" t="str">
        <f>HYPERLINK("http://www.youtube.com/channel/UCsnwGu-1Wl_4cx-U7ptdjAA")</f>
        <v>http://www.youtube.com/channel/UCsnwGu-1Wl_4cx-U7ptdjAA</v>
      </c>
      <c r="U217" s="84"/>
      <c r="V217" s="84" t="s">
        <v>1486</v>
      </c>
      <c r="W217" s="90" t="str">
        <f>HYPERLINK("https://www.youtube.com/watch?v=jc7x06un0jc")</f>
        <v>https://www.youtube.com/watch?v=jc7x06un0jc</v>
      </c>
      <c r="X217" s="84" t="s">
        <v>1537</v>
      </c>
      <c r="Y217" s="84">
        <v>0</v>
      </c>
      <c r="Z217" s="93">
        <v>44876.7528125</v>
      </c>
      <c r="AA217" s="93">
        <v>44876.7528125</v>
      </c>
      <c r="AB217" s="84"/>
      <c r="AC217" s="84"/>
      <c r="AD217" s="88" t="s">
        <v>1874</v>
      </c>
      <c r="AE217" s="86">
        <v>1</v>
      </c>
      <c r="AF217" s="87" t="str">
        <f>REPLACE(INDEX(GroupVertices[Group],MATCH(Edges[[#This Row],[Vertex 1]],GroupVertices[Vertex],0)),1,1,"")</f>
        <v>9</v>
      </c>
      <c r="AG217" s="87" t="str">
        <f>REPLACE(INDEX(GroupVertices[Group],MATCH(Edges[[#This Row],[Vertex 2]],GroupVertices[Vertex],0)),1,1,"")</f>
        <v>9</v>
      </c>
      <c r="AH217" s="105"/>
      <c r="AI217" s="105"/>
      <c r="AJ217" s="105"/>
      <c r="AK217" s="105"/>
      <c r="AL217" s="105"/>
      <c r="AM217" s="105"/>
      <c r="AN217" s="105"/>
      <c r="AO217" s="105"/>
      <c r="AP217" s="105"/>
    </row>
    <row r="218" spans="1:42" ht="15">
      <c r="A218" s="61" t="s">
        <v>424</v>
      </c>
      <c r="B218" s="61" t="s">
        <v>628</v>
      </c>
      <c r="C218" s="62" t="s">
        <v>2891</v>
      </c>
      <c r="D218" s="63">
        <v>5</v>
      </c>
      <c r="E218" s="62"/>
      <c r="F218" s="65">
        <v>25</v>
      </c>
      <c r="G218" s="62"/>
      <c r="H218" s="66"/>
      <c r="I218" s="67"/>
      <c r="J218" s="67"/>
      <c r="K218" s="31" t="s">
        <v>65</v>
      </c>
      <c r="L218" s="68">
        <v>218</v>
      </c>
      <c r="M218" s="68"/>
      <c r="N218" s="69"/>
      <c r="O218" s="84" t="s">
        <v>653</v>
      </c>
      <c r="P218" s="84" t="s">
        <v>215</v>
      </c>
      <c r="Q218" s="88" t="s">
        <v>869</v>
      </c>
      <c r="R218" s="84" t="s">
        <v>424</v>
      </c>
      <c r="S218" s="84" t="s">
        <v>1262</v>
      </c>
      <c r="T218" s="90" t="str">
        <f>HYPERLINK("http://www.youtube.com/channel/UCBFJuNuNt0Slz7rIv4EeHxg")</f>
        <v>http://www.youtube.com/channel/UCBFJuNuNt0Slz7rIv4EeHxg</v>
      </c>
      <c r="U218" s="84"/>
      <c r="V218" s="84" t="s">
        <v>1486</v>
      </c>
      <c r="W218" s="90" t="str">
        <f>HYPERLINK("https://www.youtube.com/watch?v=jc7x06un0jc")</f>
        <v>https://www.youtube.com/watch?v=jc7x06un0jc</v>
      </c>
      <c r="X218" s="84" t="s">
        <v>1537</v>
      </c>
      <c r="Y218" s="84">
        <v>0</v>
      </c>
      <c r="Z218" s="84" t="s">
        <v>1661</v>
      </c>
      <c r="AA218" s="84" t="s">
        <v>1661</v>
      </c>
      <c r="AB218" s="84"/>
      <c r="AC218" s="84"/>
      <c r="AD218" s="88" t="s">
        <v>1874</v>
      </c>
      <c r="AE218" s="86">
        <v>1</v>
      </c>
      <c r="AF218" s="87" t="str">
        <f>REPLACE(INDEX(GroupVertices[Group],MATCH(Edges[[#This Row],[Vertex 1]],GroupVertices[Vertex],0)),1,1,"")</f>
        <v>9</v>
      </c>
      <c r="AG218" s="87" t="str">
        <f>REPLACE(INDEX(GroupVertices[Group],MATCH(Edges[[#This Row],[Vertex 2]],GroupVertices[Vertex],0)),1,1,"")</f>
        <v>9</v>
      </c>
      <c r="AH218" s="105"/>
      <c r="AI218" s="105"/>
      <c r="AJ218" s="105"/>
      <c r="AK218" s="105"/>
      <c r="AL218" s="105"/>
      <c r="AM218" s="105"/>
      <c r="AN218" s="105"/>
      <c r="AO218" s="105"/>
      <c r="AP218" s="105"/>
    </row>
    <row r="219" spans="1:42" ht="15">
      <c r="A219" s="61" t="s">
        <v>425</v>
      </c>
      <c r="B219" s="61" t="s">
        <v>650</v>
      </c>
      <c r="C219" s="62" t="s">
        <v>2891</v>
      </c>
      <c r="D219" s="63">
        <v>5</v>
      </c>
      <c r="E219" s="62"/>
      <c r="F219" s="65">
        <v>25</v>
      </c>
      <c r="G219" s="62"/>
      <c r="H219" s="66"/>
      <c r="I219" s="67"/>
      <c r="J219" s="67"/>
      <c r="K219" s="31" t="s">
        <v>65</v>
      </c>
      <c r="L219" s="68">
        <v>219</v>
      </c>
      <c r="M219" s="68"/>
      <c r="N219" s="69"/>
      <c r="O219" s="84" t="s">
        <v>653</v>
      </c>
      <c r="P219" s="84" t="s">
        <v>215</v>
      </c>
      <c r="Q219" s="88" t="s">
        <v>870</v>
      </c>
      <c r="R219" s="84" t="s">
        <v>425</v>
      </c>
      <c r="S219" s="84" t="s">
        <v>1263</v>
      </c>
      <c r="T219" s="90" t="str">
        <f>HYPERLINK("http://www.youtube.com/channel/UChhnlW9OkCjdinvmKgxt7sg")</f>
        <v>http://www.youtube.com/channel/UChhnlW9OkCjdinvmKgxt7sg</v>
      </c>
      <c r="U219" s="84"/>
      <c r="V219" s="84" t="s">
        <v>1487</v>
      </c>
      <c r="W219" s="90" t="str">
        <f>HYPERLINK("https://www.youtube.com/watch?v=lBULLJFAT50")</f>
        <v>https://www.youtube.com/watch?v=lBULLJFAT50</v>
      </c>
      <c r="X219" s="84" t="s">
        <v>1537</v>
      </c>
      <c r="Y219" s="84">
        <v>9</v>
      </c>
      <c r="Z219" s="84" t="s">
        <v>1662</v>
      </c>
      <c r="AA219" s="84" t="s">
        <v>1662</v>
      </c>
      <c r="AB219" s="84"/>
      <c r="AC219" s="84"/>
      <c r="AD219" s="88" t="s">
        <v>1874</v>
      </c>
      <c r="AE219" s="86">
        <v>1</v>
      </c>
      <c r="AF219" s="87" t="str">
        <f>REPLACE(INDEX(GroupVertices[Group],MATCH(Edges[[#This Row],[Vertex 1]],GroupVertices[Vertex],0)),1,1,"")</f>
        <v>2</v>
      </c>
      <c r="AG219" s="87" t="str">
        <f>REPLACE(INDEX(GroupVertices[Group],MATCH(Edges[[#This Row],[Vertex 2]],GroupVertices[Vertex],0)),1,1,"")</f>
        <v>2</v>
      </c>
      <c r="AH219" s="105"/>
      <c r="AI219" s="105"/>
      <c r="AJ219" s="105"/>
      <c r="AK219" s="105"/>
      <c r="AL219" s="105"/>
      <c r="AM219" s="105"/>
      <c r="AN219" s="105"/>
      <c r="AO219" s="105"/>
      <c r="AP219" s="105"/>
    </row>
    <row r="220" spans="1:42" ht="15">
      <c r="A220" s="61" t="s">
        <v>426</v>
      </c>
      <c r="B220" s="61" t="s">
        <v>650</v>
      </c>
      <c r="C220" s="62" t="s">
        <v>2891</v>
      </c>
      <c r="D220" s="63">
        <v>5</v>
      </c>
      <c r="E220" s="62"/>
      <c r="F220" s="65">
        <v>25</v>
      </c>
      <c r="G220" s="62"/>
      <c r="H220" s="66"/>
      <c r="I220" s="67"/>
      <c r="J220" s="67"/>
      <c r="K220" s="31" t="s">
        <v>65</v>
      </c>
      <c r="L220" s="68">
        <v>220</v>
      </c>
      <c r="M220" s="68"/>
      <c r="N220" s="69"/>
      <c r="O220" s="84" t="s">
        <v>653</v>
      </c>
      <c r="P220" s="84" t="s">
        <v>215</v>
      </c>
      <c r="Q220" s="88" t="s">
        <v>871</v>
      </c>
      <c r="R220" s="84" t="s">
        <v>426</v>
      </c>
      <c r="S220" s="84" t="s">
        <v>1264</v>
      </c>
      <c r="T220" s="90" t="str">
        <f>HYPERLINK("http://www.youtube.com/channel/UC1Tq0qhsWTNePsMJeKVuPZA")</f>
        <v>http://www.youtube.com/channel/UC1Tq0qhsWTNePsMJeKVuPZA</v>
      </c>
      <c r="U220" s="84"/>
      <c r="V220" s="84" t="s">
        <v>1487</v>
      </c>
      <c r="W220" s="90" t="str">
        <f>HYPERLINK("https://www.youtube.com/watch?v=lBULLJFAT50")</f>
        <v>https://www.youtube.com/watch?v=lBULLJFAT50</v>
      </c>
      <c r="X220" s="84" t="s">
        <v>1537</v>
      </c>
      <c r="Y220" s="84">
        <v>45</v>
      </c>
      <c r="Z220" s="84" t="s">
        <v>1663</v>
      </c>
      <c r="AA220" s="84" t="s">
        <v>1663</v>
      </c>
      <c r="AB220" s="84"/>
      <c r="AC220" s="84"/>
      <c r="AD220" s="88" t="s">
        <v>1874</v>
      </c>
      <c r="AE220" s="86">
        <v>1</v>
      </c>
      <c r="AF220" s="87" t="str">
        <f>REPLACE(INDEX(GroupVertices[Group],MATCH(Edges[[#This Row],[Vertex 1]],GroupVertices[Vertex],0)),1,1,"")</f>
        <v>2</v>
      </c>
      <c r="AG220" s="87" t="str">
        <f>REPLACE(INDEX(GroupVertices[Group],MATCH(Edges[[#This Row],[Vertex 2]],GroupVertices[Vertex],0)),1,1,"")</f>
        <v>2</v>
      </c>
      <c r="AH220" s="105"/>
      <c r="AI220" s="105"/>
      <c r="AJ220" s="105"/>
      <c r="AK220" s="105"/>
      <c r="AL220" s="105"/>
      <c r="AM220" s="105"/>
      <c r="AN220" s="105"/>
      <c r="AO220" s="105"/>
      <c r="AP220" s="105"/>
    </row>
    <row r="221" spans="1:42" ht="15">
      <c r="A221" s="61" t="s">
        <v>427</v>
      </c>
      <c r="B221" s="61" t="s">
        <v>650</v>
      </c>
      <c r="C221" s="62" t="s">
        <v>2891</v>
      </c>
      <c r="D221" s="63">
        <v>5</v>
      </c>
      <c r="E221" s="62"/>
      <c r="F221" s="65">
        <v>25</v>
      </c>
      <c r="G221" s="62"/>
      <c r="H221" s="66"/>
      <c r="I221" s="67"/>
      <c r="J221" s="67"/>
      <c r="K221" s="31" t="s">
        <v>65</v>
      </c>
      <c r="L221" s="68">
        <v>221</v>
      </c>
      <c r="M221" s="68"/>
      <c r="N221" s="69"/>
      <c r="O221" s="84" t="s">
        <v>653</v>
      </c>
      <c r="P221" s="84" t="s">
        <v>215</v>
      </c>
      <c r="Q221" s="88" t="s">
        <v>872</v>
      </c>
      <c r="R221" s="84" t="s">
        <v>427</v>
      </c>
      <c r="S221" s="84" t="s">
        <v>1265</v>
      </c>
      <c r="T221" s="90" t="str">
        <f>HYPERLINK("http://www.youtube.com/channel/UCpO_ZS7vVPS2MsFgySn5LRQ")</f>
        <v>http://www.youtube.com/channel/UCpO_ZS7vVPS2MsFgySn5LRQ</v>
      </c>
      <c r="U221" s="84"/>
      <c r="V221" s="84" t="s">
        <v>1487</v>
      </c>
      <c r="W221" s="90" t="str">
        <f>HYPERLINK("https://www.youtube.com/watch?v=lBULLJFAT50")</f>
        <v>https://www.youtube.com/watch?v=lBULLJFAT50</v>
      </c>
      <c r="X221" s="84" t="s">
        <v>1537</v>
      </c>
      <c r="Y221" s="84">
        <v>0</v>
      </c>
      <c r="Z221" s="84" t="s">
        <v>1664</v>
      </c>
      <c r="AA221" s="84" t="s">
        <v>1664</v>
      </c>
      <c r="AB221" s="84"/>
      <c r="AC221" s="84"/>
      <c r="AD221" s="88" t="s">
        <v>1874</v>
      </c>
      <c r="AE221" s="86">
        <v>1</v>
      </c>
      <c r="AF221" s="87" t="str">
        <f>REPLACE(INDEX(GroupVertices[Group],MATCH(Edges[[#This Row],[Vertex 1]],GroupVertices[Vertex],0)),1,1,"")</f>
        <v>2</v>
      </c>
      <c r="AG221" s="87" t="str">
        <f>REPLACE(INDEX(GroupVertices[Group],MATCH(Edges[[#This Row],[Vertex 2]],GroupVertices[Vertex],0)),1,1,"")</f>
        <v>2</v>
      </c>
      <c r="AH221" s="105"/>
      <c r="AI221" s="105"/>
      <c r="AJ221" s="105"/>
      <c r="AK221" s="105"/>
      <c r="AL221" s="105"/>
      <c r="AM221" s="105"/>
      <c r="AN221" s="105"/>
      <c r="AO221" s="105"/>
      <c r="AP221" s="105"/>
    </row>
    <row r="222" spans="1:42" ht="15">
      <c r="A222" s="61" t="s">
        <v>428</v>
      </c>
      <c r="B222" s="61" t="s">
        <v>650</v>
      </c>
      <c r="C222" s="62" t="s">
        <v>2891</v>
      </c>
      <c r="D222" s="63">
        <v>5</v>
      </c>
      <c r="E222" s="62"/>
      <c r="F222" s="65">
        <v>25</v>
      </c>
      <c r="G222" s="62"/>
      <c r="H222" s="66"/>
      <c r="I222" s="67"/>
      <c r="J222" s="67"/>
      <c r="K222" s="31" t="s">
        <v>65</v>
      </c>
      <c r="L222" s="68">
        <v>222</v>
      </c>
      <c r="M222" s="68"/>
      <c r="N222" s="69"/>
      <c r="O222" s="84" t="s">
        <v>653</v>
      </c>
      <c r="P222" s="84" t="s">
        <v>215</v>
      </c>
      <c r="Q222" s="88" t="s">
        <v>873</v>
      </c>
      <c r="R222" s="84" t="s">
        <v>428</v>
      </c>
      <c r="S222" s="84" t="s">
        <v>1266</v>
      </c>
      <c r="T222" s="90" t="str">
        <f>HYPERLINK("http://www.youtube.com/channel/UCNu2EinLOnfvasdXkbv6n4w")</f>
        <v>http://www.youtube.com/channel/UCNu2EinLOnfvasdXkbv6n4w</v>
      </c>
      <c r="U222" s="84"/>
      <c r="V222" s="84" t="s">
        <v>1487</v>
      </c>
      <c r="W222" s="90" t="str">
        <f>HYPERLINK("https://www.youtube.com/watch?v=lBULLJFAT50")</f>
        <v>https://www.youtube.com/watch?v=lBULLJFAT50</v>
      </c>
      <c r="X222" s="84" t="s">
        <v>1537</v>
      </c>
      <c r="Y222" s="84">
        <v>1</v>
      </c>
      <c r="Z222" s="84" t="s">
        <v>1665</v>
      </c>
      <c r="AA222" s="84" t="s">
        <v>1665</v>
      </c>
      <c r="AB222" s="84" t="s">
        <v>1860</v>
      </c>
      <c r="AC222" s="84" t="s">
        <v>1869</v>
      </c>
      <c r="AD222" s="88" t="s">
        <v>1874</v>
      </c>
      <c r="AE222" s="86">
        <v>1</v>
      </c>
      <c r="AF222" s="87" t="str">
        <f>REPLACE(INDEX(GroupVertices[Group],MATCH(Edges[[#This Row],[Vertex 1]],GroupVertices[Vertex],0)),1,1,"")</f>
        <v>2</v>
      </c>
      <c r="AG222" s="87" t="str">
        <f>REPLACE(INDEX(GroupVertices[Group],MATCH(Edges[[#This Row],[Vertex 2]],GroupVertices[Vertex],0)),1,1,"")</f>
        <v>2</v>
      </c>
      <c r="AH222" s="105"/>
      <c r="AI222" s="105"/>
      <c r="AJ222" s="105"/>
      <c r="AK222" s="105"/>
      <c r="AL222" s="105"/>
      <c r="AM222" s="105"/>
      <c r="AN222" s="105"/>
      <c r="AO222" s="105"/>
      <c r="AP222" s="105"/>
    </row>
    <row r="223" spans="1:42" ht="15">
      <c r="A223" s="61" t="s">
        <v>429</v>
      </c>
      <c r="B223" s="61" t="s">
        <v>650</v>
      </c>
      <c r="C223" s="62" t="s">
        <v>2891</v>
      </c>
      <c r="D223" s="63">
        <v>5</v>
      </c>
      <c r="E223" s="62"/>
      <c r="F223" s="65">
        <v>25</v>
      </c>
      <c r="G223" s="62"/>
      <c r="H223" s="66"/>
      <c r="I223" s="67"/>
      <c r="J223" s="67"/>
      <c r="K223" s="31" t="s">
        <v>65</v>
      </c>
      <c r="L223" s="68">
        <v>223</v>
      </c>
      <c r="M223" s="68"/>
      <c r="N223" s="69"/>
      <c r="O223" s="84" t="s">
        <v>653</v>
      </c>
      <c r="P223" s="84" t="s">
        <v>215</v>
      </c>
      <c r="Q223" s="88" t="s">
        <v>874</v>
      </c>
      <c r="R223" s="84" t="s">
        <v>429</v>
      </c>
      <c r="S223" s="84" t="s">
        <v>1267</v>
      </c>
      <c r="T223" s="90" t="str">
        <f>HYPERLINK("http://www.youtube.com/channel/UCV39ok_BIsRoWbqdTRsi84w")</f>
        <v>http://www.youtube.com/channel/UCV39ok_BIsRoWbqdTRsi84w</v>
      </c>
      <c r="U223" s="84"/>
      <c r="V223" s="84" t="s">
        <v>1487</v>
      </c>
      <c r="W223" s="90" t="str">
        <f>HYPERLINK("https://www.youtube.com/watch?v=lBULLJFAT50")</f>
        <v>https://www.youtube.com/watch?v=lBULLJFAT50</v>
      </c>
      <c r="X223" s="84" t="s">
        <v>1537</v>
      </c>
      <c r="Y223" s="84">
        <v>12</v>
      </c>
      <c r="Z223" s="84" t="s">
        <v>1666</v>
      </c>
      <c r="AA223" s="84" t="s">
        <v>1666</v>
      </c>
      <c r="AB223" s="84"/>
      <c r="AC223" s="84"/>
      <c r="AD223" s="88" t="s">
        <v>1874</v>
      </c>
      <c r="AE223" s="86">
        <v>1</v>
      </c>
      <c r="AF223" s="87" t="str">
        <f>REPLACE(INDEX(GroupVertices[Group],MATCH(Edges[[#This Row],[Vertex 1]],GroupVertices[Vertex],0)),1,1,"")</f>
        <v>2</v>
      </c>
      <c r="AG223" s="87" t="str">
        <f>REPLACE(INDEX(GroupVertices[Group],MATCH(Edges[[#This Row],[Vertex 2]],GroupVertices[Vertex],0)),1,1,"")</f>
        <v>2</v>
      </c>
      <c r="AH223" s="105"/>
      <c r="AI223" s="105"/>
      <c r="AJ223" s="105"/>
      <c r="AK223" s="105"/>
      <c r="AL223" s="105"/>
      <c r="AM223" s="105"/>
      <c r="AN223" s="105"/>
      <c r="AO223" s="105"/>
      <c r="AP223" s="105"/>
    </row>
    <row r="224" spans="1:42" ht="15">
      <c r="A224" s="61" t="s">
        <v>430</v>
      </c>
      <c r="B224" s="61" t="s">
        <v>650</v>
      </c>
      <c r="C224" s="62" t="s">
        <v>2891</v>
      </c>
      <c r="D224" s="63">
        <v>5</v>
      </c>
      <c r="E224" s="62"/>
      <c r="F224" s="65">
        <v>25</v>
      </c>
      <c r="G224" s="62"/>
      <c r="H224" s="66"/>
      <c r="I224" s="67"/>
      <c r="J224" s="67"/>
      <c r="K224" s="31" t="s">
        <v>65</v>
      </c>
      <c r="L224" s="68">
        <v>224</v>
      </c>
      <c r="M224" s="68"/>
      <c r="N224" s="69"/>
      <c r="O224" s="84" t="s">
        <v>653</v>
      </c>
      <c r="P224" s="84" t="s">
        <v>215</v>
      </c>
      <c r="Q224" s="88" t="s">
        <v>875</v>
      </c>
      <c r="R224" s="84" t="s">
        <v>430</v>
      </c>
      <c r="S224" s="84" t="s">
        <v>1268</v>
      </c>
      <c r="T224" s="90" t="str">
        <f>HYPERLINK("http://www.youtube.com/channel/UCsCNgXBYEKEfv5id6XM0DaQ")</f>
        <v>http://www.youtube.com/channel/UCsCNgXBYEKEfv5id6XM0DaQ</v>
      </c>
      <c r="U224" s="84"/>
      <c r="V224" s="84" t="s">
        <v>1487</v>
      </c>
      <c r="W224" s="90" t="str">
        <f>HYPERLINK("https://www.youtube.com/watch?v=lBULLJFAT50")</f>
        <v>https://www.youtube.com/watch?v=lBULLJFAT50</v>
      </c>
      <c r="X224" s="84" t="s">
        <v>1537</v>
      </c>
      <c r="Y224" s="84">
        <v>0</v>
      </c>
      <c r="Z224" s="84" t="s">
        <v>1667</v>
      </c>
      <c r="AA224" s="84" t="s">
        <v>1667</v>
      </c>
      <c r="AB224" s="84"/>
      <c r="AC224" s="84"/>
      <c r="AD224" s="88" t="s">
        <v>1874</v>
      </c>
      <c r="AE224" s="86">
        <v>1</v>
      </c>
      <c r="AF224" s="87" t="str">
        <f>REPLACE(INDEX(GroupVertices[Group],MATCH(Edges[[#This Row],[Vertex 1]],GroupVertices[Vertex],0)),1,1,"")</f>
        <v>2</v>
      </c>
      <c r="AG224" s="87" t="str">
        <f>REPLACE(INDEX(GroupVertices[Group],MATCH(Edges[[#This Row],[Vertex 2]],GroupVertices[Vertex],0)),1,1,"")</f>
        <v>2</v>
      </c>
      <c r="AH224" s="105"/>
      <c r="AI224" s="105"/>
      <c r="AJ224" s="105"/>
      <c r="AK224" s="105"/>
      <c r="AL224" s="105"/>
      <c r="AM224" s="105"/>
      <c r="AN224" s="105"/>
      <c r="AO224" s="105"/>
      <c r="AP224" s="105"/>
    </row>
    <row r="225" spans="1:42" ht="15">
      <c r="A225" s="61" t="s">
        <v>431</v>
      </c>
      <c r="B225" s="61" t="s">
        <v>650</v>
      </c>
      <c r="C225" s="62" t="s">
        <v>2891</v>
      </c>
      <c r="D225" s="63">
        <v>5</v>
      </c>
      <c r="E225" s="62"/>
      <c r="F225" s="65">
        <v>25</v>
      </c>
      <c r="G225" s="62"/>
      <c r="H225" s="66"/>
      <c r="I225" s="67"/>
      <c r="J225" s="67"/>
      <c r="K225" s="31" t="s">
        <v>65</v>
      </c>
      <c r="L225" s="68">
        <v>225</v>
      </c>
      <c r="M225" s="68"/>
      <c r="N225" s="69"/>
      <c r="O225" s="84" t="s">
        <v>653</v>
      </c>
      <c r="P225" s="84" t="s">
        <v>215</v>
      </c>
      <c r="Q225" s="88" t="s">
        <v>876</v>
      </c>
      <c r="R225" s="84" t="s">
        <v>431</v>
      </c>
      <c r="S225" s="84" t="s">
        <v>1269</v>
      </c>
      <c r="T225" s="90" t="str">
        <f>HYPERLINK("http://www.youtube.com/channel/UC5tdeIiQq5xKKENaCw8Fung")</f>
        <v>http://www.youtube.com/channel/UC5tdeIiQq5xKKENaCw8Fung</v>
      </c>
      <c r="U225" s="84"/>
      <c r="V225" s="84" t="s">
        <v>1487</v>
      </c>
      <c r="W225" s="90" t="str">
        <f>HYPERLINK("https://www.youtube.com/watch?v=lBULLJFAT50")</f>
        <v>https://www.youtube.com/watch?v=lBULLJFAT50</v>
      </c>
      <c r="X225" s="84" t="s">
        <v>1537</v>
      </c>
      <c r="Y225" s="84">
        <v>0</v>
      </c>
      <c r="Z225" s="84" t="s">
        <v>1668</v>
      </c>
      <c r="AA225" s="84" t="s">
        <v>1848</v>
      </c>
      <c r="AB225" s="84"/>
      <c r="AC225" s="84"/>
      <c r="AD225" s="88" t="s">
        <v>1874</v>
      </c>
      <c r="AE225" s="86">
        <v>1</v>
      </c>
      <c r="AF225" s="87" t="str">
        <f>REPLACE(INDEX(GroupVertices[Group],MATCH(Edges[[#This Row],[Vertex 1]],GroupVertices[Vertex],0)),1,1,"")</f>
        <v>2</v>
      </c>
      <c r="AG225" s="87" t="str">
        <f>REPLACE(INDEX(GroupVertices[Group],MATCH(Edges[[#This Row],[Vertex 2]],GroupVertices[Vertex],0)),1,1,"")</f>
        <v>2</v>
      </c>
      <c r="AH225" s="105"/>
      <c r="AI225" s="105"/>
      <c r="AJ225" s="105"/>
      <c r="AK225" s="105"/>
      <c r="AL225" s="105"/>
      <c r="AM225" s="105"/>
      <c r="AN225" s="105"/>
      <c r="AO225" s="105"/>
      <c r="AP225" s="105"/>
    </row>
    <row r="226" spans="1:42" ht="15">
      <c r="A226" s="61" t="s">
        <v>432</v>
      </c>
      <c r="B226" s="61" t="s">
        <v>650</v>
      </c>
      <c r="C226" s="62" t="s">
        <v>2891</v>
      </c>
      <c r="D226" s="63">
        <v>5</v>
      </c>
      <c r="E226" s="62"/>
      <c r="F226" s="65">
        <v>25</v>
      </c>
      <c r="G226" s="62"/>
      <c r="H226" s="66"/>
      <c r="I226" s="67"/>
      <c r="J226" s="67"/>
      <c r="K226" s="31" t="s">
        <v>65</v>
      </c>
      <c r="L226" s="68">
        <v>226</v>
      </c>
      <c r="M226" s="68"/>
      <c r="N226" s="69"/>
      <c r="O226" s="84" t="s">
        <v>653</v>
      </c>
      <c r="P226" s="84" t="s">
        <v>215</v>
      </c>
      <c r="Q226" s="88" t="s">
        <v>877</v>
      </c>
      <c r="R226" s="84" t="s">
        <v>432</v>
      </c>
      <c r="S226" s="84" t="s">
        <v>1270</v>
      </c>
      <c r="T226" s="90" t="str">
        <f>HYPERLINK("http://www.youtube.com/channel/UCd3oOj9b8aBbg3cVL9z7wpQ")</f>
        <v>http://www.youtube.com/channel/UCd3oOj9b8aBbg3cVL9z7wpQ</v>
      </c>
      <c r="U226" s="84"/>
      <c r="V226" s="84" t="s">
        <v>1487</v>
      </c>
      <c r="W226" s="90" t="str">
        <f>HYPERLINK("https://www.youtube.com/watch?v=lBULLJFAT50")</f>
        <v>https://www.youtube.com/watch?v=lBULLJFAT50</v>
      </c>
      <c r="X226" s="84" t="s">
        <v>1537</v>
      </c>
      <c r="Y226" s="84">
        <v>27</v>
      </c>
      <c r="Z226" s="84" t="s">
        <v>1669</v>
      </c>
      <c r="AA226" s="84" t="s">
        <v>1669</v>
      </c>
      <c r="AB226" s="84"/>
      <c r="AC226" s="84"/>
      <c r="AD226" s="88" t="s">
        <v>1874</v>
      </c>
      <c r="AE226" s="86">
        <v>1</v>
      </c>
      <c r="AF226" s="87" t="str">
        <f>REPLACE(INDEX(GroupVertices[Group],MATCH(Edges[[#This Row],[Vertex 1]],GroupVertices[Vertex],0)),1,1,"")</f>
        <v>2</v>
      </c>
      <c r="AG226" s="87" t="str">
        <f>REPLACE(INDEX(GroupVertices[Group],MATCH(Edges[[#This Row],[Vertex 2]],GroupVertices[Vertex],0)),1,1,"")</f>
        <v>2</v>
      </c>
      <c r="AH226" s="105"/>
      <c r="AI226" s="105"/>
      <c r="AJ226" s="105"/>
      <c r="AK226" s="105"/>
      <c r="AL226" s="105"/>
      <c r="AM226" s="105"/>
      <c r="AN226" s="105"/>
      <c r="AO226" s="105"/>
      <c r="AP226" s="105"/>
    </row>
    <row r="227" spans="1:42" ht="15">
      <c r="A227" s="61" t="s">
        <v>433</v>
      </c>
      <c r="B227" s="61" t="s">
        <v>650</v>
      </c>
      <c r="C227" s="62" t="s">
        <v>2891</v>
      </c>
      <c r="D227" s="63">
        <v>5</v>
      </c>
      <c r="E227" s="62"/>
      <c r="F227" s="65">
        <v>25</v>
      </c>
      <c r="G227" s="62"/>
      <c r="H227" s="66"/>
      <c r="I227" s="67"/>
      <c r="J227" s="67"/>
      <c r="K227" s="31" t="s">
        <v>65</v>
      </c>
      <c r="L227" s="68">
        <v>227</v>
      </c>
      <c r="M227" s="68"/>
      <c r="N227" s="69"/>
      <c r="O227" s="84" t="s">
        <v>653</v>
      </c>
      <c r="P227" s="84" t="s">
        <v>215</v>
      </c>
      <c r="Q227" s="88" t="s">
        <v>878</v>
      </c>
      <c r="R227" s="84" t="s">
        <v>433</v>
      </c>
      <c r="S227" s="84" t="s">
        <v>1271</v>
      </c>
      <c r="T227" s="90" t="str">
        <f>HYPERLINK("http://www.youtube.com/channel/UCvenNaUPHhrEPUtaFLX3fow")</f>
        <v>http://www.youtube.com/channel/UCvenNaUPHhrEPUtaFLX3fow</v>
      </c>
      <c r="U227" s="84"/>
      <c r="V227" s="84" t="s">
        <v>1487</v>
      </c>
      <c r="W227" s="90" t="str">
        <f>HYPERLINK("https://www.youtube.com/watch?v=lBULLJFAT50")</f>
        <v>https://www.youtube.com/watch?v=lBULLJFAT50</v>
      </c>
      <c r="X227" s="84" t="s">
        <v>1537</v>
      </c>
      <c r="Y227" s="84">
        <v>0</v>
      </c>
      <c r="Z227" s="84" t="s">
        <v>1670</v>
      </c>
      <c r="AA227" s="84" t="s">
        <v>1670</v>
      </c>
      <c r="AB227" s="84"/>
      <c r="AC227" s="84"/>
      <c r="AD227" s="88" t="s">
        <v>1874</v>
      </c>
      <c r="AE227" s="86">
        <v>1</v>
      </c>
      <c r="AF227" s="87" t="str">
        <f>REPLACE(INDEX(GroupVertices[Group],MATCH(Edges[[#This Row],[Vertex 1]],GroupVertices[Vertex],0)),1,1,"")</f>
        <v>2</v>
      </c>
      <c r="AG227" s="87" t="str">
        <f>REPLACE(INDEX(GroupVertices[Group],MATCH(Edges[[#This Row],[Vertex 2]],GroupVertices[Vertex],0)),1,1,"")</f>
        <v>2</v>
      </c>
      <c r="AH227" s="105"/>
      <c r="AI227" s="105"/>
      <c r="AJ227" s="105"/>
      <c r="AK227" s="105"/>
      <c r="AL227" s="105"/>
      <c r="AM227" s="105"/>
      <c r="AN227" s="105"/>
      <c r="AO227" s="105"/>
      <c r="AP227" s="105"/>
    </row>
    <row r="228" spans="1:42" ht="15">
      <c r="A228" s="61" t="s">
        <v>434</v>
      </c>
      <c r="B228" s="61" t="s">
        <v>650</v>
      </c>
      <c r="C228" s="62" t="s">
        <v>2891</v>
      </c>
      <c r="D228" s="63">
        <v>5</v>
      </c>
      <c r="E228" s="62"/>
      <c r="F228" s="65">
        <v>25</v>
      </c>
      <c r="G228" s="62"/>
      <c r="H228" s="66"/>
      <c r="I228" s="67"/>
      <c r="J228" s="67"/>
      <c r="K228" s="31" t="s">
        <v>65</v>
      </c>
      <c r="L228" s="68">
        <v>228</v>
      </c>
      <c r="M228" s="68"/>
      <c r="N228" s="69"/>
      <c r="O228" s="84" t="s">
        <v>653</v>
      </c>
      <c r="P228" s="84" t="s">
        <v>215</v>
      </c>
      <c r="Q228" s="88" t="s">
        <v>879</v>
      </c>
      <c r="R228" s="84" t="s">
        <v>434</v>
      </c>
      <c r="S228" s="84" t="s">
        <v>1272</v>
      </c>
      <c r="T228" s="90" t="str">
        <f>HYPERLINK("http://www.youtube.com/channel/UCTDf1TcecVPO5uPX-YmK2bA")</f>
        <v>http://www.youtube.com/channel/UCTDf1TcecVPO5uPX-YmK2bA</v>
      </c>
      <c r="U228" s="84"/>
      <c r="V228" s="84" t="s">
        <v>1487</v>
      </c>
      <c r="W228" s="90" t="str">
        <f>HYPERLINK("https://www.youtube.com/watch?v=lBULLJFAT50")</f>
        <v>https://www.youtube.com/watch?v=lBULLJFAT50</v>
      </c>
      <c r="X228" s="84" t="s">
        <v>1537</v>
      </c>
      <c r="Y228" s="84">
        <v>2</v>
      </c>
      <c r="Z228" s="84" t="s">
        <v>1671</v>
      </c>
      <c r="AA228" s="84" t="s">
        <v>1671</v>
      </c>
      <c r="AB228" s="84"/>
      <c r="AC228" s="84"/>
      <c r="AD228" s="88" t="s">
        <v>1874</v>
      </c>
      <c r="AE228" s="86">
        <v>1</v>
      </c>
      <c r="AF228" s="87" t="str">
        <f>REPLACE(INDEX(GroupVertices[Group],MATCH(Edges[[#This Row],[Vertex 1]],GroupVertices[Vertex],0)),1,1,"")</f>
        <v>2</v>
      </c>
      <c r="AG228" s="87" t="str">
        <f>REPLACE(INDEX(GroupVertices[Group],MATCH(Edges[[#This Row],[Vertex 2]],GroupVertices[Vertex],0)),1,1,"")</f>
        <v>2</v>
      </c>
      <c r="AH228" s="105"/>
      <c r="AI228" s="105"/>
      <c r="AJ228" s="105"/>
      <c r="AK228" s="105"/>
      <c r="AL228" s="105"/>
      <c r="AM228" s="105"/>
      <c r="AN228" s="105"/>
      <c r="AO228" s="105"/>
      <c r="AP228" s="105"/>
    </row>
    <row r="229" spans="1:42" ht="15">
      <c r="A229" s="61" t="s">
        <v>435</v>
      </c>
      <c r="B229" s="61" t="s">
        <v>650</v>
      </c>
      <c r="C229" s="62" t="s">
        <v>2891</v>
      </c>
      <c r="D229" s="63">
        <v>5</v>
      </c>
      <c r="E229" s="62"/>
      <c r="F229" s="65">
        <v>25</v>
      </c>
      <c r="G229" s="62"/>
      <c r="H229" s="66"/>
      <c r="I229" s="67"/>
      <c r="J229" s="67"/>
      <c r="K229" s="31" t="s">
        <v>65</v>
      </c>
      <c r="L229" s="68">
        <v>229</v>
      </c>
      <c r="M229" s="68"/>
      <c r="N229" s="69"/>
      <c r="O229" s="84" t="s">
        <v>653</v>
      </c>
      <c r="P229" s="84" t="s">
        <v>215</v>
      </c>
      <c r="Q229" s="88" t="s">
        <v>880</v>
      </c>
      <c r="R229" s="84" t="s">
        <v>435</v>
      </c>
      <c r="S229" s="84" t="s">
        <v>1273</v>
      </c>
      <c r="T229" s="90" t="str">
        <f>HYPERLINK("http://www.youtube.com/channel/UCUMe8TJDCQYzEFSdBkUwHjw")</f>
        <v>http://www.youtube.com/channel/UCUMe8TJDCQYzEFSdBkUwHjw</v>
      </c>
      <c r="U229" s="84"/>
      <c r="V229" s="84" t="s">
        <v>1487</v>
      </c>
      <c r="W229" s="90" t="str">
        <f>HYPERLINK("https://www.youtube.com/watch?v=lBULLJFAT50")</f>
        <v>https://www.youtube.com/watch?v=lBULLJFAT50</v>
      </c>
      <c r="X229" s="84" t="s">
        <v>1537</v>
      </c>
      <c r="Y229" s="84">
        <v>51</v>
      </c>
      <c r="Z229" s="84" t="s">
        <v>1672</v>
      </c>
      <c r="AA229" s="84" t="s">
        <v>1672</v>
      </c>
      <c r="AB229" s="84"/>
      <c r="AC229" s="84"/>
      <c r="AD229" s="88" t="s">
        <v>1874</v>
      </c>
      <c r="AE229" s="86">
        <v>1</v>
      </c>
      <c r="AF229" s="87" t="str">
        <f>REPLACE(INDEX(GroupVertices[Group],MATCH(Edges[[#This Row],[Vertex 1]],GroupVertices[Vertex],0)),1,1,"")</f>
        <v>2</v>
      </c>
      <c r="AG229" s="87" t="str">
        <f>REPLACE(INDEX(GroupVertices[Group],MATCH(Edges[[#This Row],[Vertex 2]],GroupVertices[Vertex],0)),1,1,"")</f>
        <v>2</v>
      </c>
      <c r="AH229" s="105"/>
      <c r="AI229" s="105"/>
      <c r="AJ229" s="105"/>
      <c r="AK229" s="105"/>
      <c r="AL229" s="105"/>
      <c r="AM229" s="105"/>
      <c r="AN229" s="105"/>
      <c r="AO229" s="105"/>
      <c r="AP229" s="105"/>
    </row>
    <row r="230" spans="1:42" ht="15">
      <c r="A230" s="61" t="s">
        <v>436</v>
      </c>
      <c r="B230" s="61" t="s">
        <v>650</v>
      </c>
      <c r="C230" s="62" t="s">
        <v>2891</v>
      </c>
      <c r="D230" s="63">
        <v>5</v>
      </c>
      <c r="E230" s="62"/>
      <c r="F230" s="65">
        <v>25</v>
      </c>
      <c r="G230" s="62"/>
      <c r="H230" s="66"/>
      <c r="I230" s="67"/>
      <c r="J230" s="67"/>
      <c r="K230" s="31" t="s">
        <v>65</v>
      </c>
      <c r="L230" s="68">
        <v>230</v>
      </c>
      <c r="M230" s="68"/>
      <c r="N230" s="69"/>
      <c r="O230" s="84" t="s">
        <v>653</v>
      </c>
      <c r="P230" s="84" t="s">
        <v>215</v>
      </c>
      <c r="Q230" s="88" t="s">
        <v>881</v>
      </c>
      <c r="R230" s="84" t="s">
        <v>436</v>
      </c>
      <c r="S230" s="84" t="s">
        <v>1274</v>
      </c>
      <c r="T230" s="90" t="str">
        <f>HYPERLINK("http://www.youtube.com/channel/UCDaK1BrtB4BmUM0WtD6z0mg")</f>
        <v>http://www.youtube.com/channel/UCDaK1BrtB4BmUM0WtD6z0mg</v>
      </c>
      <c r="U230" s="84"/>
      <c r="V230" s="84" t="s">
        <v>1487</v>
      </c>
      <c r="W230" s="90" t="str">
        <f>HYPERLINK("https://www.youtube.com/watch?v=lBULLJFAT50")</f>
        <v>https://www.youtube.com/watch?v=lBULLJFAT50</v>
      </c>
      <c r="X230" s="84" t="s">
        <v>1537</v>
      </c>
      <c r="Y230" s="84">
        <v>0</v>
      </c>
      <c r="Z230" s="84" t="s">
        <v>1673</v>
      </c>
      <c r="AA230" s="84" t="s">
        <v>1673</v>
      </c>
      <c r="AB230" s="84"/>
      <c r="AC230" s="84"/>
      <c r="AD230" s="88" t="s">
        <v>1874</v>
      </c>
      <c r="AE230" s="86">
        <v>1</v>
      </c>
      <c r="AF230" s="87" t="str">
        <f>REPLACE(INDEX(GroupVertices[Group],MATCH(Edges[[#This Row],[Vertex 1]],GroupVertices[Vertex],0)),1,1,"")</f>
        <v>2</v>
      </c>
      <c r="AG230" s="87" t="str">
        <f>REPLACE(INDEX(GroupVertices[Group],MATCH(Edges[[#This Row],[Vertex 2]],GroupVertices[Vertex],0)),1,1,"")</f>
        <v>2</v>
      </c>
      <c r="AH230" s="105"/>
      <c r="AI230" s="105"/>
      <c r="AJ230" s="105"/>
      <c r="AK230" s="105"/>
      <c r="AL230" s="105"/>
      <c r="AM230" s="105"/>
      <c r="AN230" s="105"/>
      <c r="AO230" s="105"/>
      <c r="AP230" s="105"/>
    </row>
    <row r="231" spans="1:42" ht="15">
      <c r="A231" s="61" t="s">
        <v>437</v>
      </c>
      <c r="B231" s="61" t="s">
        <v>650</v>
      </c>
      <c r="C231" s="62" t="s">
        <v>2891</v>
      </c>
      <c r="D231" s="63">
        <v>5</v>
      </c>
      <c r="E231" s="62"/>
      <c r="F231" s="65">
        <v>25</v>
      </c>
      <c r="G231" s="62"/>
      <c r="H231" s="66"/>
      <c r="I231" s="67"/>
      <c r="J231" s="67"/>
      <c r="K231" s="31" t="s">
        <v>65</v>
      </c>
      <c r="L231" s="68">
        <v>231</v>
      </c>
      <c r="M231" s="68"/>
      <c r="N231" s="69"/>
      <c r="O231" s="84" t="s">
        <v>653</v>
      </c>
      <c r="P231" s="84" t="s">
        <v>215</v>
      </c>
      <c r="Q231" s="88" t="s">
        <v>882</v>
      </c>
      <c r="R231" s="84" t="s">
        <v>437</v>
      </c>
      <c r="S231" s="84" t="s">
        <v>1275</v>
      </c>
      <c r="T231" s="90" t="str">
        <f>HYPERLINK("http://www.youtube.com/channel/UCrz_aNtIibbozyYJNJH3nRw")</f>
        <v>http://www.youtube.com/channel/UCrz_aNtIibbozyYJNJH3nRw</v>
      </c>
      <c r="U231" s="84"/>
      <c r="V231" s="84" t="s">
        <v>1487</v>
      </c>
      <c r="W231" s="90" t="str">
        <f>HYPERLINK("https://www.youtube.com/watch?v=lBULLJFAT50")</f>
        <v>https://www.youtube.com/watch?v=lBULLJFAT50</v>
      </c>
      <c r="X231" s="84" t="s">
        <v>1537</v>
      </c>
      <c r="Y231" s="84">
        <v>9</v>
      </c>
      <c r="Z231" s="84" t="s">
        <v>1674</v>
      </c>
      <c r="AA231" s="84" t="s">
        <v>1674</v>
      </c>
      <c r="AB231" s="84"/>
      <c r="AC231" s="84"/>
      <c r="AD231" s="88" t="s">
        <v>1874</v>
      </c>
      <c r="AE231" s="86">
        <v>1</v>
      </c>
      <c r="AF231" s="87" t="str">
        <f>REPLACE(INDEX(GroupVertices[Group],MATCH(Edges[[#This Row],[Vertex 1]],GroupVertices[Vertex],0)),1,1,"")</f>
        <v>2</v>
      </c>
      <c r="AG231" s="87" t="str">
        <f>REPLACE(INDEX(GroupVertices[Group],MATCH(Edges[[#This Row],[Vertex 2]],GroupVertices[Vertex],0)),1,1,"")</f>
        <v>2</v>
      </c>
      <c r="AH231" s="105"/>
      <c r="AI231" s="105"/>
      <c r="AJ231" s="105"/>
      <c r="AK231" s="105"/>
      <c r="AL231" s="105"/>
      <c r="AM231" s="105"/>
      <c r="AN231" s="105"/>
      <c r="AO231" s="105"/>
      <c r="AP231" s="105"/>
    </row>
    <row r="232" spans="1:42" ht="15">
      <c r="A232" s="61" t="s">
        <v>438</v>
      </c>
      <c r="B232" s="61" t="s">
        <v>650</v>
      </c>
      <c r="C232" s="62" t="s">
        <v>2891</v>
      </c>
      <c r="D232" s="63">
        <v>5</v>
      </c>
      <c r="E232" s="62"/>
      <c r="F232" s="65">
        <v>25</v>
      </c>
      <c r="G232" s="62"/>
      <c r="H232" s="66"/>
      <c r="I232" s="67"/>
      <c r="J232" s="67"/>
      <c r="K232" s="31" t="s">
        <v>65</v>
      </c>
      <c r="L232" s="68">
        <v>232</v>
      </c>
      <c r="M232" s="68"/>
      <c r="N232" s="69"/>
      <c r="O232" s="84" t="s">
        <v>653</v>
      </c>
      <c r="P232" s="84" t="s">
        <v>215</v>
      </c>
      <c r="Q232" s="88" t="s">
        <v>883</v>
      </c>
      <c r="R232" s="84" t="s">
        <v>438</v>
      </c>
      <c r="S232" s="84" t="s">
        <v>1276</v>
      </c>
      <c r="T232" s="90" t="str">
        <f>HYPERLINK("http://www.youtube.com/channel/UCWL5gY_M9yIJzvstnbmE91A")</f>
        <v>http://www.youtube.com/channel/UCWL5gY_M9yIJzvstnbmE91A</v>
      </c>
      <c r="U232" s="84"/>
      <c r="V232" s="84" t="s">
        <v>1487</v>
      </c>
      <c r="W232" s="90" t="str">
        <f>HYPERLINK("https://www.youtube.com/watch?v=lBULLJFAT50")</f>
        <v>https://www.youtube.com/watch?v=lBULLJFAT50</v>
      </c>
      <c r="X232" s="84" t="s">
        <v>1537</v>
      </c>
      <c r="Y232" s="84">
        <v>0</v>
      </c>
      <c r="Z232" s="84" t="s">
        <v>1675</v>
      </c>
      <c r="AA232" s="84" t="s">
        <v>1675</v>
      </c>
      <c r="AB232" s="84"/>
      <c r="AC232" s="84"/>
      <c r="AD232" s="88" t="s">
        <v>1874</v>
      </c>
      <c r="AE232" s="86">
        <v>1</v>
      </c>
      <c r="AF232" s="87" t="str">
        <f>REPLACE(INDEX(GroupVertices[Group],MATCH(Edges[[#This Row],[Vertex 1]],GroupVertices[Vertex],0)),1,1,"")</f>
        <v>2</v>
      </c>
      <c r="AG232" s="87" t="str">
        <f>REPLACE(INDEX(GroupVertices[Group],MATCH(Edges[[#This Row],[Vertex 2]],GroupVertices[Vertex],0)),1,1,"")</f>
        <v>2</v>
      </c>
      <c r="AH232" s="105"/>
      <c r="AI232" s="105"/>
      <c r="AJ232" s="105"/>
      <c r="AK232" s="105"/>
      <c r="AL232" s="105"/>
      <c r="AM232" s="105"/>
      <c r="AN232" s="105"/>
      <c r="AO232" s="105"/>
      <c r="AP232" s="105"/>
    </row>
    <row r="233" spans="1:42" ht="15">
      <c r="A233" s="61" t="s">
        <v>439</v>
      </c>
      <c r="B233" s="61" t="s">
        <v>650</v>
      </c>
      <c r="C233" s="62" t="s">
        <v>2891</v>
      </c>
      <c r="D233" s="63">
        <v>5</v>
      </c>
      <c r="E233" s="62"/>
      <c r="F233" s="65">
        <v>25</v>
      </c>
      <c r="G233" s="62"/>
      <c r="H233" s="66"/>
      <c r="I233" s="67"/>
      <c r="J233" s="67"/>
      <c r="K233" s="31" t="s">
        <v>65</v>
      </c>
      <c r="L233" s="68">
        <v>233</v>
      </c>
      <c r="M233" s="68"/>
      <c r="N233" s="69"/>
      <c r="O233" s="84" t="s">
        <v>653</v>
      </c>
      <c r="P233" s="84" t="s">
        <v>215</v>
      </c>
      <c r="Q233" s="88" t="s">
        <v>884</v>
      </c>
      <c r="R233" s="84" t="s">
        <v>439</v>
      </c>
      <c r="S233" s="84" t="s">
        <v>1277</v>
      </c>
      <c r="T233" s="90" t="str">
        <f>HYPERLINK("http://www.youtube.com/channel/UC7f3POpPsIUBTAOKeKYBjyw")</f>
        <v>http://www.youtube.com/channel/UC7f3POpPsIUBTAOKeKYBjyw</v>
      </c>
      <c r="U233" s="84"/>
      <c r="V233" s="84" t="s">
        <v>1487</v>
      </c>
      <c r="W233" s="90" t="str">
        <f>HYPERLINK("https://www.youtube.com/watch?v=lBULLJFAT50")</f>
        <v>https://www.youtube.com/watch?v=lBULLJFAT50</v>
      </c>
      <c r="X233" s="84" t="s">
        <v>1537</v>
      </c>
      <c r="Y233" s="84">
        <v>7</v>
      </c>
      <c r="Z233" s="84" t="s">
        <v>1676</v>
      </c>
      <c r="AA233" s="84" t="s">
        <v>1676</v>
      </c>
      <c r="AB233" s="84"/>
      <c r="AC233" s="84"/>
      <c r="AD233" s="88" t="s">
        <v>1874</v>
      </c>
      <c r="AE233" s="86">
        <v>1</v>
      </c>
      <c r="AF233" s="87" t="str">
        <f>REPLACE(INDEX(GroupVertices[Group],MATCH(Edges[[#This Row],[Vertex 1]],GroupVertices[Vertex],0)),1,1,"")</f>
        <v>2</v>
      </c>
      <c r="AG233" s="87" t="str">
        <f>REPLACE(INDEX(GroupVertices[Group],MATCH(Edges[[#This Row],[Vertex 2]],GroupVertices[Vertex],0)),1,1,"")</f>
        <v>2</v>
      </c>
      <c r="AH233" s="105"/>
      <c r="AI233" s="105"/>
      <c r="AJ233" s="105"/>
      <c r="AK233" s="105"/>
      <c r="AL233" s="105"/>
      <c r="AM233" s="105"/>
      <c r="AN233" s="105"/>
      <c r="AO233" s="105"/>
      <c r="AP233" s="105"/>
    </row>
    <row r="234" spans="1:42" ht="15">
      <c r="A234" s="61" t="s">
        <v>440</v>
      </c>
      <c r="B234" s="61" t="s">
        <v>650</v>
      </c>
      <c r="C234" s="62" t="s">
        <v>2891</v>
      </c>
      <c r="D234" s="63">
        <v>5</v>
      </c>
      <c r="E234" s="62"/>
      <c r="F234" s="65">
        <v>25</v>
      </c>
      <c r="G234" s="62"/>
      <c r="H234" s="66"/>
      <c r="I234" s="67"/>
      <c r="J234" s="67"/>
      <c r="K234" s="31" t="s">
        <v>65</v>
      </c>
      <c r="L234" s="68">
        <v>234</v>
      </c>
      <c r="M234" s="68"/>
      <c r="N234" s="69"/>
      <c r="O234" s="84" t="s">
        <v>653</v>
      </c>
      <c r="P234" s="84" t="s">
        <v>215</v>
      </c>
      <c r="Q234" s="88" t="s">
        <v>885</v>
      </c>
      <c r="R234" s="84" t="s">
        <v>440</v>
      </c>
      <c r="S234" s="84" t="s">
        <v>1278</v>
      </c>
      <c r="T234" s="90" t="str">
        <f>HYPERLINK("http://www.youtube.com/channel/UCmIhERFSTHWemtXZ7dso_Jg")</f>
        <v>http://www.youtube.com/channel/UCmIhERFSTHWemtXZ7dso_Jg</v>
      </c>
      <c r="U234" s="84"/>
      <c r="V234" s="84" t="s">
        <v>1487</v>
      </c>
      <c r="W234" s="90" t="str">
        <f>HYPERLINK("https://www.youtube.com/watch?v=lBULLJFAT50")</f>
        <v>https://www.youtube.com/watch?v=lBULLJFAT50</v>
      </c>
      <c r="X234" s="84" t="s">
        <v>1537</v>
      </c>
      <c r="Y234" s="84">
        <v>5</v>
      </c>
      <c r="Z234" s="84" t="s">
        <v>1677</v>
      </c>
      <c r="AA234" s="84" t="s">
        <v>1677</v>
      </c>
      <c r="AB234" s="84"/>
      <c r="AC234" s="84"/>
      <c r="AD234" s="88" t="s">
        <v>1874</v>
      </c>
      <c r="AE234" s="86">
        <v>1</v>
      </c>
      <c r="AF234" s="87" t="str">
        <f>REPLACE(INDEX(GroupVertices[Group],MATCH(Edges[[#This Row],[Vertex 1]],GroupVertices[Vertex],0)),1,1,"")</f>
        <v>2</v>
      </c>
      <c r="AG234" s="87" t="str">
        <f>REPLACE(INDEX(GroupVertices[Group],MATCH(Edges[[#This Row],[Vertex 2]],GroupVertices[Vertex],0)),1,1,"")</f>
        <v>2</v>
      </c>
      <c r="AH234" s="105"/>
      <c r="AI234" s="105"/>
      <c r="AJ234" s="105"/>
      <c r="AK234" s="105"/>
      <c r="AL234" s="105"/>
      <c r="AM234" s="105"/>
      <c r="AN234" s="105"/>
      <c r="AO234" s="105"/>
      <c r="AP234" s="105"/>
    </row>
    <row r="235" spans="1:42" ht="15">
      <c r="A235" s="61" t="s">
        <v>441</v>
      </c>
      <c r="B235" s="61" t="s">
        <v>650</v>
      </c>
      <c r="C235" s="62" t="s">
        <v>2891</v>
      </c>
      <c r="D235" s="63">
        <v>5</v>
      </c>
      <c r="E235" s="62"/>
      <c r="F235" s="65">
        <v>25</v>
      </c>
      <c r="G235" s="62"/>
      <c r="H235" s="66"/>
      <c r="I235" s="67"/>
      <c r="J235" s="67"/>
      <c r="K235" s="31" t="s">
        <v>65</v>
      </c>
      <c r="L235" s="68">
        <v>235</v>
      </c>
      <c r="M235" s="68"/>
      <c r="N235" s="69"/>
      <c r="O235" s="84" t="s">
        <v>653</v>
      </c>
      <c r="P235" s="84" t="s">
        <v>215</v>
      </c>
      <c r="Q235" s="88" t="s">
        <v>886</v>
      </c>
      <c r="R235" s="84" t="s">
        <v>441</v>
      </c>
      <c r="S235" s="84" t="s">
        <v>1279</v>
      </c>
      <c r="T235" s="90" t="str">
        <f>HYPERLINK("http://www.youtube.com/channel/UCbvRGz-VcM0ZqWxfizsKclA")</f>
        <v>http://www.youtube.com/channel/UCbvRGz-VcM0ZqWxfizsKclA</v>
      </c>
      <c r="U235" s="84"/>
      <c r="V235" s="84" t="s">
        <v>1487</v>
      </c>
      <c r="W235" s="90" t="str">
        <f>HYPERLINK("https://www.youtube.com/watch?v=lBULLJFAT50")</f>
        <v>https://www.youtube.com/watch?v=lBULLJFAT50</v>
      </c>
      <c r="X235" s="84" t="s">
        <v>1537</v>
      </c>
      <c r="Y235" s="84">
        <v>1</v>
      </c>
      <c r="Z235" s="84" t="s">
        <v>1678</v>
      </c>
      <c r="AA235" s="84" t="s">
        <v>1678</v>
      </c>
      <c r="AB235" s="84"/>
      <c r="AC235" s="84"/>
      <c r="AD235" s="88" t="s">
        <v>1874</v>
      </c>
      <c r="AE235" s="86">
        <v>1</v>
      </c>
      <c r="AF235" s="87" t="str">
        <f>REPLACE(INDEX(GroupVertices[Group],MATCH(Edges[[#This Row],[Vertex 1]],GroupVertices[Vertex],0)),1,1,"")</f>
        <v>2</v>
      </c>
      <c r="AG235" s="87" t="str">
        <f>REPLACE(INDEX(GroupVertices[Group],MATCH(Edges[[#This Row],[Vertex 2]],GroupVertices[Vertex],0)),1,1,"")</f>
        <v>2</v>
      </c>
      <c r="AH235" s="105"/>
      <c r="AI235" s="105"/>
      <c r="AJ235" s="105"/>
      <c r="AK235" s="105"/>
      <c r="AL235" s="105"/>
      <c r="AM235" s="105"/>
      <c r="AN235" s="105"/>
      <c r="AO235" s="105"/>
      <c r="AP235" s="105"/>
    </row>
    <row r="236" spans="1:42" ht="15">
      <c r="A236" s="61" t="s">
        <v>442</v>
      </c>
      <c r="B236" s="61" t="s">
        <v>650</v>
      </c>
      <c r="C236" s="62" t="s">
        <v>2891</v>
      </c>
      <c r="D236" s="63">
        <v>5</v>
      </c>
      <c r="E236" s="62"/>
      <c r="F236" s="65">
        <v>25</v>
      </c>
      <c r="G236" s="62"/>
      <c r="H236" s="66"/>
      <c r="I236" s="67"/>
      <c r="J236" s="67"/>
      <c r="K236" s="31" t="s">
        <v>65</v>
      </c>
      <c r="L236" s="68">
        <v>236</v>
      </c>
      <c r="M236" s="68"/>
      <c r="N236" s="69"/>
      <c r="O236" s="84" t="s">
        <v>653</v>
      </c>
      <c r="P236" s="84" t="s">
        <v>215</v>
      </c>
      <c r="Q236" s="88" t="s">
        <v>887</v>
      </c>
      <c r="R236" s="84" t="s">
        <v>442</v>
      </c>
      <c r="S236" s="84" t="s">
        <v>1280</v>
      </c>
      <c r="T236" s="90" t="str">
        <f>HYPERLINK("http://www.youtube.com/channel/UCSTJQpdl54T-zT7KY6CmJ1A")</f>
        <v>http://www.youtube.com/channel/UCSTJQpdl54T-zT7KY6CmJ1A</v>
      </c>
      <c r="U236" s="84"/>
      <c r="V236" s="84" t="s">
        <v>1487</v>
      </c>
      <c r="W236" s="90" t="str">
        <f>HYPERLINK("https://www.youtube.com/watch?v=lBULLJFAT50")</f>
        <v>https://www.youtube.com/watch?v=lBULLJFAT50</v>
      </c>
      <c r="X236" s="84" t="s">
        <v>1537</v>
      </c>
      <c r="Y236" s="84">
        <v>0</v>
      </c>
      <c r="Z236" s="84" t="s">
        <v>1679</v>
      </c>
      <c r="AA236" s="84" t="s">
        <v>1679</v>
      </c>
      <c r="AB236" s="84"/>
      <c r="AC236" s="84"/>
      <c r="AD236" s="88" t="s">
        <v>1874</v>
      </c>
      <c r="AE236" s="86">
        <v>1</v>
      </c>
      <c r="AF236" s="87" t="str">
        <f>REPLACE(INDEX(GroupVertices[Group],MATCH(Edges[[#This Row],[Vertex 1]],GroupVertices[Vertex],0)),1,1,"")</f>
        <v>2</v>
      </c>
      <c r="AG236" s="87" t="str">
        <f>REPLACE(INDEX(GroupVertices[Group],MATCH(Edges[[#This Row],[Vertex 2]],GroupVertices[Vertex],0)),1,1,"")</f>
        <v>2</v>
      </c>
      <c r="AH236" s="105"/>
      <c r="AI236" s="105"/>
      <c r="AJ236" s="105"/>
      <c r="AK236" s="105"/>
      <c r="AL236" s="105"/>
      <c r="AM236" s="105"/>
      <c r="AN236" s="105"/>
      <c r="AO236" s="105"/>
      <c r="AP236" s="105"/>
    </row>
    <row r="237" spans="1:42" ht="15">
      <c r="A237" s="61" t="s">
        <v>443</v>
      </c>
      <c r="B237" s="61" t="s">
        <v>650</v>
      </c>
      <c r="C237" s="62" t="s">
        <v>2891</v>
      </c>
      <c r="D237" s="63">
        <v>5</v>
      </c>
      <c r="E237" s="62"/>
      <c r="F237" s="65">
        <v>25</v>
      </c>
      <c r="G237" s="62"/>
      <c r="H237" s="66"/>
      <c r="I237" s="67"/>
      <c r="J237" s="67"/>
      <c r="K237" s="31" t="s">
        <v>65</v>
      </c>
      <c r="L237" s="68">
        <v>237</v>
      </c>
      <c r="M237" s="68"/>
      <c r="N237" s="69"/>
      <c r="O237" s="84" t="s">
        <v>653</v>
      </c>
      <c r="P237" s="84" t="s">
        <v>215</v>
      </c>
      <c r="Q237" s="88" t="s">
        <v>888</v>
      </c>
      <c r="R237" s="84" t="s">
        <v>443</v>
      </c>
      <c r="S237" s="84" t="s">
        <v>1281</v>
      </c>
      <c r="T237" s="90" t="str">
        <f>HYPERLINK("http://www.youtube.com/channel/UCOXYpUYts-Yt1eqnRs3jHHQ")</f>
        <v>http://www.youtube.com/channel/UCOXYpUYts-Yt1eqnRs3jHHQ</v>
      </c>
      <c r="U237" s="84"/>
      <c r="V237" s="84" t="s">
        <v>1487</v>
      </c>
      <c r="W237" s="90" t="str">
        <f>HYPERLINK("https://www.youtube.com/watch?v=lBULLJFAT50")</f>
        <v>https://www.youtube.com/watch?v=lBULLJFAT50</v>
      </c>
      <c r="X237" s="84" t="s">
        <v>1537</v>
      </c>
      <c r="Y237" s="84">
        <v>0</v>
      </c>
      <c r="Z237" s="84" t="s">
        <v>1680</v>
      </c>
      <c r="AA237" s="84" t="s">
        <v>1680</v>
      </c>
      <c r="AB237" s="84"/>
      <c r="AC237" s="84"/>
      <c r="AD237" s="88" t="s">
        <v>1874</v>
      </c>
      <c r="AE237" s="86">
        <v>1</v>
      </c>
      <c r="AF237" s="87" t="str">
        <f>REPLACE(INDEX(GroupVertices[Group],MATCH(Edges[[#This Row],[Vertex 1]],GroupVertices[Vertex],0)),1,1,"")</f>
        <v>2</v>
      </c>
      <c r="AG237" s="87" t="str">
        <f>REPLACE(INDEX(GroupVertices[Group],MATCH(Edges[[#This Row],[Vertex 2]],GroupVertices[Vertex],0)),1,1,"")</f>
        <v>2</v>
      </c>
      <c r="AH237" s="105"/>
      <c r="AI237" s="105"/>
      <c r="AJ237" s="105"/>
      <c r="AK237" s="105"/>
      <c r="AL237" s="105"/>
      <c r="AM237" s="105"/>
      <c r="AN237" s="105"/>
      <c r="AO237" s="105"/>
      <c r="AP237" s="105"/>
    </row>
    <row r="238" spans="1:42" ht="15">
      <c r="A238" s="61" t="s">
        <v>444</v>
      </c>
      <c r="B238" s="61" t="s">
        <v>650</v>
      </c>
      <c r="C238" s="62" t="s">
        <v>2891</v>
      </c>
      <c r="D238" s="63">
        <v>5</v>
      </c>
      <c r="E238" s="62"/>
      <c r="F238" s="65">
        <v>25</v>
      </c>
      <c r="G238" s="62"/>
      <c r="H238" s="66"/>
      <c r="I238" s="67"/>
      <c r="J238" s="67"/>
      <c r="K238" s="31" t="s">
        <v>65</v>
      </c>
      <c r="L238" s="68">
        <v>238</v>
      </c>
      <c r="M238" s="68"/>
      <c r="N238" s="69"/>
      <c r="O238" s="84" t="s">
        <v>653</v>
      </c>
      <c r="P238" s="84" t="s">
        <v>215</v>
      </c>
      <c r="Q238" s="88" t="s">
        <v>889</v>
      </c>
      <c r="R238" s="84" t="s">
        <v>444</v>
      </c>
      <c r="S238" s="84" t="s">
        <v>1282</v>
      </c>
      <c r="T238" s="90" t="str">
        <f>HYPERLINK("http://www.youtube.com/channel/UCJ1ApH1Sg35KKhNXtTb1NVg")</f>
        <v>http://www.youtube.com/channel/UCJ1ApH1Sg35KKhNXtTb1NVg</v>
      </c>
      <c r="U238" s="84"/>
      <c r="V238" s="84" t="s">
        <v>1487</v>
      </c>
      <c r="W238" s="90" t="str">
        <f>HYPERLINK("https://www.youtube.com/watch?v=lBULLJFAT50")</f>
        <v>https://www.youtube.com/watch?v=lBULLJFAT50</v>
      </c>
      <c r="X238" s="84" t="s">
        <v>1537</v>
      </c>
      <c r="Y238" s="84">
        <v>1</v>
      </c>
      <c r="Z238" s="84" t="s">
        <v>1681</v>
      </c>
      <c r="AA238" s="84" t="s">
        <v>1681</v>
      </c>
      <c r="AB238" s="84"/>
      <c r="AC238" s="84"/>
      <c r="AD238" s="88" t="s">
        <v>1874</v>
      </c>
      <c r="AE238" s="86">
        <v>1</v>
      </c>
      <c r="AF238" s="87" t="str">
        <f>REPLACE(INDEX(GroupVertices[Group],MATCH(Edges[[#This Row],[Vertex 1]],GroupVertices[Vertex],0)),1,1,"")</f>
        <v>2</v>
      </c>
      <c r="AG238" s="87" t="str">
        <f>REPLACE(INDEX(GroupVertices[Group],MATCH(Edges[[#This Row],[Vertex 2]],GroupVertices[Vertex],0)),1,1,"")</f>
        <v>2</v>
      </c>
      <c r="AH238" s="105"/>
      <c r="AI238" s="105"/>
      <c r="AJ238" s="105"/>
      <c r="AK238" s="105"/>
      <c r="AL238" s="105"/>
      <c r="AM238" s="105"/>
      <c r="AN238" s="105"/>
      <c r="AO238" s="105"/>
      <c r="AP238" s="105"/>
    </row>
    <row r="239" spans="1:42" ht="15">
      <c r="A239" s="61" t="s">
        <v>445</v>
      </c>
      <c r="B239" s="61" t="s">
        <v>650</v>
      </c>
      <c r="C239" s="62" t="s">
        <v>2891</v>
      </c>
      <c r="D239" s="63">
        <v>5</v>
      </c>
      <c r="E239" s="62"/>
      <c r="F239" s="65">
        <v>25</v>
      </c>
      <c r="G239" s="62"/>
      <c r="H239" s="66"/>
      <c r="I239" s="67"/>
      <c r="J239" s="67"/>
      <c r="K239" s="31" t="s">
        <v>65</v>
      </c>
      <c r="L239" s="68">
        <v>239</v>
      </c>
      <c r="M239" s="68"/>
      <c r="N239" s="69"/>
      <c r="O239" s="84" t="s">
        <v>653</v>
      </c>
      <c r="P239" s="84" t="s">
        <v>215</v>
      </c>
      <c r="Q239" s="88" t="s">
        <v>890</v>
      </c>
      <c r="R239" s="84" t="s">
        <v>445</v>
      </c>
      <c r="S239" s="84" t="s">
        <v>1283</v>
      </c>
      <c r="T239" s="90" t="str">
        <f>HYPERLINK("http://www.youtube.com/channel/UClP4aIHvSOEzpH0AmDUrcDQ")</f>
        <v>http://www.youtube.com/channel/UClP4aIHvSOEzpH0AmDUrcDQ</v>
      </c>
      <c r="U239" s="84"/>
      <c r="V239" s="84" t="s">
        <v>1487</v>
      </c>
      <c r="W239" s="90" t="str">
        <f>HYPERLINK("https://www.youtube.com/watch?v=lBULLJFAT50")</f>
        <v>https://www.youtube.com/watch?v=lBULLJFAT50</v>
      </c>
      <c r="X239" s="84" t="s">
        <v>1537</v>
      </c>
      <c r="Y239" s="84">
        <v>3</v>
      </c>
      <c r="Z239" s="84" t="s">
        <v>1682</v>
      </c>
      <c r="AA239" s="84" t="s">
        <v>1682</v>
      </c>
      <c r="AB239" s="84"/>
      <c r="AC239" s="84"/>
      <c r="AD239" s="88" t="s">
        <v>1874</v>
      </c>
      <c r="AE239" s="86">
        <v>1</v>
      </c>
      <c r="AF239" s="87" t="str">
        <f>REPLACE(INDEX(GroupVertices[Group],MATCH(Edges[[#This Row],[Vertex 1]],GroupVertices[Vertex],0)),1,1,"")</f>
        <v>2</v>
      </c>
      <c r="AG239" s="87" t="str">
        <f>REPLACE(INDEX(GroupVertices[Group],MATCH(Edges[[#This Row],[Vertex 2]],GroupVertices[Vertex],0)),1,1,"")</f>
        <v>2</v>
      </c>
      <c r="AH239" s="105"/>
      <c r="AI239" s="105"/>
      <c r="AJ239" s="105"/>
      <c r="AK239" s="105"/>
      <c r="AL239" s="105"/>
      <c r="AM239" s="105"/>
      <c r="AN239" s="105"/>
      <c r="AO239" s="105"/>
      <c r="AP239" s="105"/>
    </row>
    <row r="240" spans="1:42" ht="15">
      <c r="A240" s="61" t="s">
        <v>446</v>
      </c>
      <c r="B240" s="61" t="s">
        <v>650</v>
      </c>
      <c r="C240" s="62" t="s">
        <v>2891</v>
      </c>
      <c r="D240" s="63">
        <v>5</v>
      </c>
      <c r="E240" s="62"/>
      <c r="F240" s="65">
        <v>25</v>
      </c>
      <c r="G240" s="62"/>
      <c r="H240" s="66"/>
      <c r="I240" s="67"/>
      <c r="J240" s="67"/>
      <c r="K240" s="31" t="s">
        <v>65</v>
      </c>
      <c r="L240" s="68">
        <v>240</v>
      </c>
      <c r="M240" s="68"/>
      <c r="N240" s="69"/>
      <c r="O240" s="84" t="s">
        <v>653</v>
      </c>
      <c r="P240" s="84" t="s">
        <v>215</v>
      </c>
      <c r="Q240" s="88" t="s">
        <v>891</v>
      </c>
      <c r="R240" s="84" t="s">
        <v>446</v>
      </c>
      <c r="S240" s="84" t="s">
        <v>1284</v>
      </c>
      <c r="T240" s="90" t="str">
        <f>HYPERLINK("http://www.youtube.com/channel/UCIRJt-3LzwPf7zhPitIrF5g")</f>
        <v>http://www.youtube.com/channel/UCIRJt-3LzwPf7zhPitIrF5g</v>
      </c>
      <c r="U240" s="84"/>
      <c r="V240" s="84" t="s">
        <v>1487</v>
      </c>
      <c r="W240" s="90" t="str">
        <f>HYPERLINK("https://www.youtube.com/watch?v=lBULLJFAT50")</f>
        <v>https://www.youtube.com/watch?v=lBULLJFAT50</v>
      </c>
      <c r="X240" s="84" t="s">
        <v>1537</v>
      </c>
      <c r="Y240" s="84">
        <v>5</v>
      </c>
      <c r="Z240" s="84" t="s">
        <v>1683</v>
      </c>
      <c r="AA240" s="84" t="s">
        <v>1683</v>
      </c>
      <c r="AB240" s="84"/>
      <c r="AC240" s="84"/>
      <c r="AD240" s="88" t="s">
        <v>1874</v>
      </c>
      <c r="AE240" s="86">
        <v>1</v>
      </c>
      <c r="AF240" s="87" t="str">
        <f>REPLACE(INDEX(GroupVertices[Group],MATCH(Edges[[#This Row],[Vertex 1]],GroupVertices[Vertex],0)),1,1,"")</f>
        <v>2</v>
      </c>
      <c r="AG240" s="87" t="str">
        <f>REPLACE(INDEX(GroupVertices[Group],MATCH(Edges[[#This Row],[Vertex 2]],GroupVertices[Vertex],0)),1,1,"")</f>
        <v>2</v>
      </c>
      <c r="AH240" s="105"/>
      <c r="AI240" s="105"/>
      <c r="AJ240" s="105"/>
      <c r="AK240" s="105"/>
      <c r="AL240" s="105"/>
      <c r="AM240" s="105"/>
      <c r="AN240" s="105"/>
      <c r="AO240" s="105"/>
      <c r="AP240" s="105"/>
    </row>
    <row r="241" spans="1:42" ht="15">
      <c r="A241" s="61" t="s">
        <v>447</v>
      </c>
      <c r="B241" s="61" t="s">
        <v>650</v>
      </c>
      <c r="C241" s="62" t="s">
        <v>2891</v>
      </c>
      <c r="D241" s="63">
        <v>5</v>
      </c>
      <c r="E241" s="62"/>
      <c r="F241" s="65">
        <v>25</v>
      </c>
      <c r="G241" s="62"/>
      <c r="H241" s="66"/>
      <c r="I241" s="67"/>
      <c r="J241" s="67"/>
      <c r="K241" s="31" t="s">
        <v>65</v>
      </c>
      <c r="L241" s="68">
        <v>241</v>
      </c>
      <c r="M241" s="68"/>
      <c r="N241" s="69"/>
      <c r="O241" s="84" t="s">
        <v>653</v>
      </c>
      <c r="P241" s="84" t="s">
        <v>215</v>
      </c>
      <c r="Q241" s="88" t="s">
        <v>892</v>
      </c>
      <c r="R241" s="84" t="s">
        <v>447</v>
      </c>
      <c r="S241" s="84" t="s">
        <v>1285</v>
      </c>
      <c r="T241" s="90" t="str">
        <f>HYPERLINK("http://www.youtube.com/channel/UC8S_OHhL9LUHNqrpP1JBb7w")</f>
        <v>http://www.youtube.com/channel/UC8S_OHhL9LUHNqrpP1JBb7w</v>
      </c>
      <c r="U241" s="84"/>
      <c r="V241" s="84" t="s">
        <v>1487</v>
      </c>
      <c r="W241" s="90" t="str">
        <f>HYPERLINK("https://www.youtube.com/watch?v=lBULLJFAT50")</f>
        <v>https://www.youtube.com/watch?v=lBULLJFAT50</v>
      </c>
      <c r="X241" s="84" t="s">
        <v>1537</v>
      </c>
      <c r="Y241" s="84">
        <v>3</v>
      </c>
      <c r="Z241" s="84" t="s">
        <v>1684</v>
      </c>
      <c r="AA241" s="84" t="s">
        <v>1684</v>
      </c>
      <c r="AB241" s="84"/>
      <c r="AC241" s="84"/>
      <c r="AD241" s="88" t="s">
        <v>1874</v>
      </c>
      <c r="AE241" s="86">
        <v>1</v>
      </c>
      <c r="AF241" s="87" t="str">
        <f>REPLACE(INDEX(GroupVertices[Group],MATCH(Edges[[#This Row],[Vertex 1]],GroupVertices[Vertex],0)),1,1,"")</f>
        <v>2</v>
      </c>
      <c r="AG241" s="87" t="str">
        <f>REPLACE(INDEX(GroupVertices[Group],MATCH(Edges[[#This Row],[Vertex 2]],GroupVertices[Vertex],0)),1,1,"")</f>
        <v>2</v>
      </c>
      <c r="AH241" s="105"/>
      <c r="AI241" s="105"/>
      <c r="AJ241" s="105"/>
      <c r="AK241" s="105"/>
      <c r="AL241" s="105"/>
      <c r="AM241" s="105"/>
      <c r="AN241" s="105"/>
      <c r="AO241" s="105"/>
      <c r="AP241" s="105"/>
    </row>
    <row r="242" spans="1:42" ht="15">
      <c r="A242" s="61" t="s">
        <v>448</v>
      </c>
      <c r="B242" s="61" t="s">
        <v>650</v>
      </c>
      <c r="C242" s="62" t="s">
        <v>2891</v>
      </c>
      <c r="D242" s="63">
        <v>5</v>
      </c>
      <c r="E242" s="62"/>
      <c r="F242" s="65">
        <v>25</v>
      </c>
      <c r="G242" s="62"/>
      <c r="H242" s="66"/>
      <c r="I242" s="67"/>
      <c r="J242" s="67"/>
      <c r="K242" s="31" t="s">
        <v>65</v>
      </c>
      <c r="L242" s="68">
        <v>242</v>
      </c>
      <c r="M242" s="68"/>
      <c r="N242" s="69"/>
      <c r="O242" s="84" t="s">
        <v>653</v>
      </c>
      <c r="P242" s="84" t="s">
        <v>215</v>
      </c>
      <c r="Q242" s="88" t="s">
        <v>893</v>
      </c>
      <c r="R242" s="84" t="s">
        <v>448</v>
      </c>
      <c r="S242" s="84" t="s">
        <v>1286</v>
      </c>
      <c r="T242" s="90" t="str">
        <f>HYPERLINK("http://www.youtube.com/channel/UCx9V8F0H9tU2sgHRd9kpAuA")</f>
        <v>http://www.youtube.com/channel/UCx9V8F0H9tU2sgHRd9kpAuA</v>
      </c>
      <c r="U242" s="84"/>
      <c r="V242" s="84" t="s">
        <v>1487</v>
      </c>
      <c r="W242" s="90" t="str">
        <f>HYPERLINK("https://www.youtube.com/watch?v=lBULLJFAT50")</f>
        <v>https://www.youtube.com/watch?v=lBULLJFAT50</v>
      </c>
      <c r="X242" s="84" t="s">
        <v>1537</v>
      </c>
      <c r="Y242" s="84">
        <v>6</v>
      </c>
      <c r="Z242" s="84" t="s">
        <v>1685</v>
      </c>
      <c r="AA242" s="84" t="s">
        <v>1685</v>
      </c>
      <c r="AB242" s="84"/>
      <c r="AC242" s="84"/>
      <c r="AD242" s="88" t="s">
        <v>1874</v>
      </c>
      <c r="AE242" s="86">
        <v>1</v>
      </c>
      <c r="AF242" s="87" t="str">
        <f>REPLACE(INDEX(GroupVertices[Group],MATCH(Edges[[#This Row],[Vertex 1]],GroupVertices[Vertex],0)),1,1,"")</f>
        <v>2</v>
      </c>
      <c r="AG242" s="87" t="str">
        <f>REPLACE(INDEX(GroupVertices[Group],MATCH(Edges[[#This Row],[Vertex 2]],GroupVertices[Vertex],0)),1,1,"")</f>
        <v>2</v>
      </c>
      <c r="AH242" s="105"/>
      <c r="AI242" s="105"/>
      <c r="AJ242" s="105"/>
      <c r="AK242" s="105"/>
      <c r="AL242" s="105"/>
      <c r="AM242" s="105"/>
      <c r="AN242" s="105"/>
      <c r="AO242" s="105"/>
      <c r="AP242" s="105"/>
    </row>
    <row r="243" spans="1:42" ht="15">
      <c r="A243" s="61" t="s">
        <v>449</v>
      </c>
      <c r="B243" s="61" t="s">
        <v>650</v>
      </c>
      <c r="C243" s="62" t="s">
        <v>2891</v>
      </c>
      <c r="D243" s="63">
        <v>5</v>
      </c>
      <c r="E243" s="62"/>
      <c r="F243" s="65">
        <v>25</v>
      </c>
      <c r="G243" s="62"/>
      <c r="H243" s="66"/>
      <c r="I243" s="67"/>
      <c r="J243" s="67"/>
      <c r="K243" s="31" t="s">
        <v>65</v>
      </c>
      <c r="L243" s="68">
        <v>243</v>
      </c>
      <c r="M243" s="68"/>
      <c r="N243" s="69"/>
      <c r="O243" s="84" t="s">
        <v>653</v>
      </c>
      <c r="P243" s="84" t="s">
        <v>215</v>
      </c>
      <c r="Q243" s="88" t="s">
        <v>894</v>
      </c>
      <c r="R243" s="84" t="s">
        <v>449</v>
      </c>
      <c r="S243" s="84" t="s">
        <v>1287</v>
      </c>
      <c r="T243" s="90" t="str">
        <f>HYPERLINK("http://www.youtube.com/channel/UCms8qXNIZGGtMOGhqzgQ_dg")</f>
        <v>http://www.youtube.com/channel/UCms8qXNIZGGtMOGhqzgQ_dg</v>
      </c>
      <c r="U243" s="84"/>
      <c r="V243" s="84" t="s">
        <v>1487</v>
      </c>
      <c r="W243" s="90" t="str">
        <f>HYPERLINK("https://www.youtube.com/watch?v=lBULLJFAT50")</f>
        <v>https://www.youtube.com/watch?v=lBULLJFAT50</v>
      </c>
      <c r="X243" s="84" t="s">
        <v>1537</v>
      </c>
      <c r="Y243" s="84">
        <v>0</v>
      </c>
      <c r="Z243" s="84" t="s">
        <v>1686</v>
      </c>
      <c r="AA243" s="84" t="s">
        <v>1686</v>
      </c>
      <c r="AB243" s="84"/>
      <c r="AC243" s="84"/>
      <c r="AD243" s="88" t="s">
        <v>1874</v>
      </c>
      <c r="AE243" s="86">
        <v>1</v>
      </c>
      <c r="AF243" s="87" t="str">
        <f>REPLACE(INDEX(GroupVertices[Group],MATCH(Edges[[#This Row],[Vertex 1]],GroupVertices[Vertex],0)),1,1,"")</f>
        <v>2</v>
      </c>
      <c r="AG243" s="87" t="str">
        <f>REPLACE(INDEX(GroupVertices[Group],MATCH(Edges[[#This Row],[Vertex 2]],GroupVertices[Vertex],0)),1,1,"")</f>
        <v>2</v>
      </c>
      <c r="AH243" s="105"/>
      <c r="AI243" s="105"/>
      <c r="AJ243" s="105"/>
      <c r="AK243" s="105"/>
      <c r="AL243" s="105"/>
      <c r="AM243" s="105"/>
      <c r="AN243" s="105"/>
      <c r="AO243" s="105"/>
      <c r="AP243" s="105"/>
    </row>
    <row r="244" spans="1:42" ht="15">
      <c r="A244" s="61" t="s">
        <v>450</v>
      </c>
      <c r="B244" s="61" t="s">
        <v>650</v>
      </c>
      <c r="C244" s="62" t="s">
        <v>2891</v>
      </c>
      <c r="D244" s="63">
        <v>5</v>
      </c>
      <c r="E244" s="62"/>
      <c r="F244" s="65">
        <v>25</v>
      </c>
      <c r="G244" s="62"/>
      <c r="H244" s="66"/>
      <c r="I244" s="67"/>
      <c r="J244" s="67"/>
      <c r="K244" s="31" t="s">
        <v>65</v>
      </c>
      <c r="L244" s="68">
        <v>244</v>
      </c>
      <c r="M244" s="68"/>
      <c r="N244" s="69"/>
      <c r="O244" s="84" t="s">
        <v>653</v>
      </c>
      <c r="P244" s="84" t="s">
        <v>215</v>
      </c>
      <c r="Q244" s="88" t="s">
        <v>895</v>
      </c>
      <c r="R244" s="84" t="s">
        <v>450</v>
      </c>
      <c r="S244" s="84" t="s">
        <v>1288</v>
      </c>
      <c r="T244" s="90" t="str">
        <f>HYPERLINK("http://www.youtube.com/channel/UCf5igCIlbW-63caczX4QvNw")</f>
        <v>http://www.youtube.com/channel/UCf5igCIlbW-63caczX4QvNw</v>
      </c>
      <c r="U244" s="84"/>
      <c r="V244" s="84" t="s">
        <v>1487</v>
      </c>
      <c r="W244" s="90" t="str">
        <f>HYPERLINK("https://www.youtube.com/watch?v=lBULLJFAT50")</f>
        <v>https://www.youtube.com/watch?v=lBULLJFAT50</v>
      </c>
      <c r="X244" s="84" t="s">
        <v>1537</v>
      </c>
      <c r="Y244" s="84">
        <v>12</v>
      </c>
      <c r="Z244" s="84" t="s">
        <v>1687</v>
      </c>
      <c r="AA244" s="84" t="s">
        <v>1687</v>
      </c>
      <c r="AB244" s="84"/>
      <c r="AC244" s="84"/>
      <c r="AD244" s="88" t="s">
        <v>1874</v>
      </c>
      <c r="AE244" s="86">
        <v>1</v>
      </c>
      <c r="AF244" s="87" t="str">
        <f>REPLACE(INDEX(GroupVertices[Group],MATCH(Edges[[#This Row],[Vertex 1]],GroupVertices[Vertex],0)),1,1,"")</f>
        <v>2</v>
      </c>
      <c r="AG244" s="87" t="str">
        <f>REPLACE(INDEX(GroupVertices[Group],MATCH(Edges[[#This Row],[Vertex 2]],GroupVertices[Vertex],0)),1,1,"")</f>
        <v>2</v>
      </c>
      <c r="AH244" s="105"/>
      <c r="AI244" s="105"/>
      <c r="AJ244" s="105"/>
      <c r="AK244" s="105"/>
      <c r="AL244" s="105"/>
      <c r="AM244" s="105"/>
      <c r="AN244" s="105"/>
      <c r="AO244" s="105"/>
      <c r="AP244" s="105"/>
    </row>
    <row r="245" spans="1:42" ht="15">
      <c r="A245" s="61" t="s">
        <v>451</v>
      </c>
      <c r="B245" s="61" t="s">
        <v>650</v>
      </c>
      <c r="C245" s="62" t="s">
        <v>2891</v>
      </c>
      <c r="D245" s="63">
        <v>5</v>
      </c>
      <c r="E245" s="62"/>
      <c r="F245" s="65">
        <v>25</v>
      </c>
      <c r="G245" s="62"/>
      <c r="H245" s="66"/>
      <c r="I245" s="67"/>
      <c r="J245" s="67"/>
      <c r="K245" s="31" t="s">
        <v>65</v>
      </c>
      <c r="L245" s="68">
        <v>245</v>
      </c>
      <c r="M245" s="68"/>
      <c r="N245" s="69"/>
      <c r="O245" s="84" t="s">
        <v>653</v>
      </c>
      <c r="P245" s="84" t="s">
        <v>215</v>
      </c>
      <c r="Q245" s="88" t="s">
        <v>896</v>
      </c>
      <c r="R245" s="84" t="s">
        <v>451</v>
      </c>
      <c r="S245" s="84" t="s">
        <v>1289</v>
      </c>
      <c r="T245" s="90" t="str">
        <f>HYPERLINK("http://www.youtube.com/channel/UCE4dQSL_rNeuCUyOvkczHNQ")</f>
        <v>http://www.youtube.com/channel/UCE4dQSL_rNeuCUyOvkczHNQ</v>
      </c>
      <c r="U245" s="84"/>
      <c r="V245" s="84" t="s">
        <v>1487</v>
      </c>
      <c r="W245" s="90" t="str">
        <f>HYPERLINK("https://www.youtube.com/watch?v=lBULLJFAT50")</f>
        <v>https://www.youtube.com/watch?v=lBULLJFAT50</v>
      </c>
      <c r="X245" s="84" t="s">
        <v>1537</v>
      </c>
      <c r="Y245" s="84">
        <v>1</v>
      </c>
      <c r="Z245" s="84" t="s">
        <v>1688</v>
      </c>
      <c r="AA245" s="84" t="s">
        <v>1688</v>
      </c>
      <c r="AB245" s="84"/>
      <c r="AC245" s="84"/>
      <c r="AD245" s="88" t="s">
        <v>1874</v>
      </c>
      <c r="AE245" s="86">
        <v>1</v>
      </c>
      <c r="AF245" s="87" t="str">
        <f>REPLACE(INDEX(GroupVertices[Group],MATCH(Edges[[#This Row],[Vertex 1]],GroupVertices[Vertex],0)),1,1,"")</f>
        <v>2</v>
      </c>
      <c r="AG245" s="87" t="str">
        <f>REPLACE(INDEX(GroupVertices[Group],MATCH(Edges[[#This Row],[Vertex 2]],GroupVertices[Vertex],0)),1,1,"")</f>
        <v>2</v>
      </c>
      <c r="AH245" s="105"/>
      <c r="AI245" s="105"/>
      <c r="AJ245" s="105"/>
      <c r="AK245" s="105"/>
      <c r="AL245" s="105"/>
      <c r="AM245" s="105"/>
      <c r="AN245" s="105"/>
      <c r="AO245" s="105"/>
      <c r="AP245" s="105"/>
    </row>
    <row r="246" spans="1:42" ht="15">
      <c r="A246" s="61" t="s">
        <v>452</v>
      </c>
      <c r="B246" s="61" t="s">
        <v>650</v>
      </c>
      <c r="C246" s="62" t="s">
        <v>2891</v>
      </c>
      <c r="D246" s="63">
        <v>5</v>
      </c>
      <c r="E246" s="62"/>
      <c r="F246" s="65">
        <v>25</v>
      </c>
      <c r="G246" s="62"/>
      <c r="H246" s="66"/>
      <c r="I246" s="67"/>
      <c r="J246" s="67"/>
      <c r="K246" s="31" t="s">
        <v>65</v>
      </c>
      <c r="L246" s="68">
        <v>246</v>
      </c>
      <c r="M246" s="68"/>
      <c r="N246" s="69"/>
      <c r="O246" s="84" t="s">
        <v>653</v>
      </c>
      <c r="P246" s="84" t="s">
        <v>215</v>
      </c>
      <c r="Q246" s="88" t="s">
        <v>897</v>
      </c>
      <c r="R246" s="84" t="s">
        <v>452</v>
      </c>
      <c r="S246" s="84" t="s">
        <v>1290</v>
      </c>
      <c r="T246" s="90" t="str">
        <f>HYPERLINK("http://www.youtube.com/channel/UCw-lHo0SengfKCOWsiLRwKg")</f>
        <v>http://www.youtube.com/channel/UCw-lHo0SengfKCOWsiLRwKg</v>
      </c>
      <c r="U246" s="84"/>
      <c r="V246" s="84" t="s">
        <v>1487</v>
      </c>
      <c r="W246" s="90" t="str">
        <f>HYPERLINK("https://www.youtube.com/watch?v=lBULLJFAT50")</f>
        <v>https://www.youtube.com/watch?v=lBULLJFAT50</v>
      </c>
      <c r="X246" s="84" t="s">
        <v>1537</v>
      </c>
      <c r="Y246" s="84">
        <v>1</v>
      </c>
      <c r="Z246" s="84" t="s">
        <v>1689</v>
      </c>
      <c r="AA246" s="84" t="s">
        <v>1689</v>
      </c>
      <c r="AB246" s="84"/>
      <c r="AC246" s="84"/>
      <c r="AD246" s="88" t="s">
        <v>1874</v>
      </c>
      <c r="AE246" s="86">
        <v>1</v>
      </c>
      <c r="AF246" s="87" t="str">
        <f>REPLACE(INDEX(GroupVertices[Group],MATCH(Edges[[#This Row],[Vertex 1]],GroupVertices[Vertex],0)),1,1,"")</f>
        <v>2</v>
      </c>
      <c r="AG246" s="87" t="str">
        <f>REPLACE(INDEX(GroupVertices[Group],MATCH(Edges[[#This Row],[Vertex 2]],GroupVertices[Vertex],0)),1,1,"")</f>
        <v>2</v>
      </c>
      <c r="AH246" s="105"/>
      <c r="AI246" s="105"/>
      <c r="AJ246" s="105"/>
      <c r="AK246" s="105"/>
      <c r="AL246" s="105"/>
      <c r="AM246" s="105"/>
      <c r="AN246" s="105"/>
      <c r="AO246" s="105"/>
      <c r="AP246" s="105"/>
    </row>
    <row r="247" spans="1:42" ht="15">
      <c r="A247" s="61" t="s">
        <v>453</v>
      </c>
      <c r="B247" s="61" t="s">
        <v>650</v>
      </c>
      <c r="C247" s="62" t="s">
        <v>2891</v>
      </c>
      <c r="D247" s="63">
        <v>5</v>
      </c>
      <c r="E247" s="62"/>
      <c r="F247" s="65">
        <v>25</v>
      </c>
      <c r="G247" s="62"/>
      <c r="H247" s="66"/>
      <c r="I247" s="67"/>
      <c r="J247" s="67"/>
      <c r="K247" s="31" t="s">
        <v>65</v>
      </c>
      <c r="L247" s="68">
        <v>247</v>
      </c>
      <c r="M247" s="68"/>
      <c r="N247" s="69"/>
      <c r="O247" s="84" t="s">
        <v>653</v>
      </c>
      <c r="P247" s="84" t="s">
        <v>215</v>
      </c>
      <c r="Q247" s="88" t="s">
        <v>898</v>
      </c>
      <c r="R247" s="84" t="s">
        <v>453</v>
      </c>
      <c r="S247" s="84" t="s">
        <v>1291</v>
      </c>
      <c r="T247" s="90" t="str">
        <f>HYPERLINK("http://www.youtube.com/channel/UC7yYFucKiv1t1ZTOUGp8rbg")</f>
        <v>http://www.youtube.com/channel/UC7yYFucKiv1t1ZTOUGp8rbg</v>
      </c>
      <c r="U247" s="84"/>
      <c r="V247" s="84" t="s">
        <v>1487</v>
      </c>
      <c r="W247" s="90" t="str">
        <f>HYPERLINK("https://www.youtube.com/watch?v=lBULLJFAT50")</f>
        <v>https://www.youtube.com/watch?v=lBULLJFAT50</v>
      </c>
      <c r="X247" s="84" t="s">
        <v>1537</v>
      </c>
      <c r="Y247" s="84">
        <v>0</v>
      </c>
      <c r="Z247" s="84" t="s">
        <v>1690</v>
      </c>
      <c r="AA247" s="84" t="s">
        <v>1690</v>
      </c>
      <c r="AB247" s="84"/>
      <c r="AC247" s="84"/>
      <c r="AD247" s="88" t="s">
        <v>1874</v>
      </c>
      <c r="AE247" s="86">
        <v>1</v>
      </c>
      <c r="AF247" s="87" t="str">
        <f>REPLACE(INDEX(GroupVertices[Group],MATCH(Edges[[#This Row],[Vertex 1]],GroupVertices[Vertex],0)),1,1,"")</f>
        <v>2</v>
      </c>
      <c r="AG247" s="87" t="str">
        <f>REPLACE(INDEX(GroupVertices[Group],MATCH(Edges[[#This Row],[Vertex 2]],GroupVertices[Vertex],0)),1,1,"")</f>
        <v>2</v>
      </c>
      <c r="AH247" s="105"/>
      <c r="AI247" s="105"/>
      <c r="AJ247" s="105"/>
      <c r="AK247" s="105"/>
      <c r="AL247" s="105"/>
      <c r="AM247" s="105"/>
      <c r="AN247" s="105"/>
      <c r="AO247" s="105"/>
      <c r="AP247" s="105"/>
    </row>
    <row r="248" spans="1:42" ht="15">
      <c r="A248" s="61" t="s">
        <v>454</v>
      </c>
      <c r="B248" s="61" t="s">
        <v>650</v>
      </c>
      <c r="C248" s="62" t="s">
        <v>2891</v>
      </c>
      <c r="D248" s="63">
        <v>5</v>
      </c>
      <c r="E248" s="62"/>
      <c r="F248" s="65">
        <v>25</v>
      </c>
      <c r="G248" s="62"/>
      <c r="H248" s="66"/>
      <c r="I248" s="67"/>
      <c r="J248" s="67"/>
      <c r="K248" s="31" t="s">
        <v>65</v>
      </c>
      <c r="L248" s="68">
        <v>248</v>
      </c>
      <c r="M248" s="68"/>
      <c r="N248" s="69"/>
      <c r="O248" s="84" t="s">
        <v>653</v>
      </c>
      <c r="P248" s="84" t="s">
        <v>215</v>
      </c>
      <c r="Q248" s="88" t="s">
        <v>899</v>
      </c>
      <c r="R248" s="84" t="s">
        <v>454</v>
      </c>
      <c r="S248" s="84" t="s">
        <v>1292</v>
      </c>
      <c r="T248" s="90" t="str">
        <f>HYPERLINK("http://www.youtube.com/channel/UCyxFFz7hYPEunEqCiCyuCkQ")</f>
        <v>http://www.youtube.com/channel/UCyxFFz7hYPEunEqCiCyuCkQ</v>
      </c>
      <c r="U248" s="84"/>
      <c r="V248" s="84" t="s">
        <v>1487</v>
      </c>
      <c r="W248" s="90" t="str">
        <f>HYPERLINK("https://www.youtube.com/watch?v=lBULLJFAT50")</f>
        <v>https://www.youtube.com/watch?v=lBULLJFAT50</v>
      </c>
      <c r="X248" s="84" t="s">
        <v>1537</v>
      </c>
      <c r="Y248" s="84">
        <v>22</v>
      </c>
      <c r="Z248" s="84" t="s">
        <v>1691</v>
      </c>
      <c r="AA248" s="84" t="s">
        <v>1691</v>
      </c>
      <c r="AB248" s="84"/>
      <c r="AC248" s="84"/>
      <c r="AD248" s="88" t="s">
        <v>1874</v>
      </c>
      <c r="AE248" s="86">
        <v>1</v>
      </c>
      <c r="AF248" s="87" t="str">
        <f>REPLACE(INDEX(GroupVertices[Group],MATCH(Edges[[#This Row],[Vertex 1]],GroupVertices[Vertex],0)),1,1,"")</f>
        <v>2</v>
      </c>
      <c r="AG248" s="87" t="str">
        <f>REPLACE(INDEX(GroupVertices[Group],MATCH(Edges[[#This Row],[Vertex 2]],GroupVertices[Vertex],0)),1,1,"")</f>
        <v>2</v>
      </c>
      <c r="AH248" s="105"/>
      <c r="AI248" s="105"/>
      <c r="AJ248" s="105"/>
      <c r="AK248" s="105"/>
      <c r="AL248" s="105"/>
      <c r="AM248" s="105"/>
      <c r="AN248" s="105"/>
      <c r="AO248" s="105"/>
      <c r="AP248" s="105"/>
    </row>
    <row r="249" spans="1:42" ht="15">
      <c r="A249" s="61" t="s">
        <v>455</v>
      </c>
      <c r="B249" s="61" t="s">
        <v>650</v>
      </c>
      <c r="C249" s="62" t="s">
        <v>2891</v>
      </c>
      <c r="D249" s="63">
        <v>5</v>
      </c>
      <c r="E249" s="62"/>
      <c r="F249" s="65">
        <v>25</v>
      </c>
      <c r="G249" s="62"/>
      <c r="H249" s="66"/>
      <c r="I249" s="67"/>
      <c r="J249" s="67"/>
      <c r="K249" s="31" t="s">
        <v>65</v>
      </c>
      <c r="L249" s="68">
        <v>249</v>
      </c>
      <c r="M249" s="68"/>
      <c r="N249" s="69"/>
      <c r="O249" s="84" t="s">
        <v>653</v>
      </c>
      <c r="P249" s="84" t="s">
        <v>215</v>
      </c>
      <c r="Q249" s="88" t="s">
        <v>900</v>
      </c>
      <c r="R249" s="84" t="s">
        <v>455</v>
      </c>
      <c r="S249" s="84" t="s">
        <v>1293</v>
      </c>
      <c r="T249" s="90" t="str">
        <f>HYPERLINK("http://www.youtube.com/channel/UCGJjAeDvkSmAwmZVvMupN9Q")</f>
        <v>http://www.youtube.com/channel/UCGJjAeDvkSmAwmZVvMupN9Q</v>
      </c>
      <c r="U249" s="84"/>
      <c r="V249" s="84" t="s">
        <v>1487</v>
      </c>
      <c r="W249" s="90" t="str">
        <f>HYPERLINK("https://www.youtube.com/watch?v=lBULLJFAT50")</f>
        <v>https://www.youtube.com/watch?v=lBULLJFAT50</v>
      </c>
      <c r="X249" s="84" t="s">
        <v>1537</v>
      </c>
      <c r="Y249" s="84">
        <v>72</v>
      </c>
      <c r="Z249" s="84" t="s">
        <v>1692</v>
      </c>
      <c r="AA249" s="84" t="s">
        <v>1692</v>
      </c>
      <c r="AB249" s="84"/>
      <c r="AC249" s="84"/>
      <c r="AD249" s="88" t="s">
        <v>1874</v>
      </c>
      <c r="AE249" s="86">
        <v>1</v>
      </c>
      <c r="AF249" s="87" t="str">
        <f>REPLACE(INDEX(GroupVertices[Group],MATCH(Edges[[#This Row],[Vertex 1]],GroupVertices[Vertex],0)),1,1,"")</f>
        <v>2</v>
      </c>
      <c r="AG249" s="87" t="str">
        <f>REPLACE(INDEX(GroupVertices[Group],MATCH(Edges[[#This Row],[Vertex 2]],GroupVertices[Vertex],0)),1,1,"")</f>
        <v>2</v>
      </c>
      <c r="AH249" s="105"/>
      <c r="AI249" s="105"/>
      <c r="AJ249" s="105"/>
      <c r="AK249" s="105"/>
      <c r="AL249" s="105"/>
      <c r="AM249" s="105"/>
      <c r="AN249" s="105"/>
      <c r="AO249" s="105"/>
      <c r="AP249" s="105"/>
    </row>
    <row r="250" spans="1:42" ht="15">
      <c r="A250" s="61" t="s">
        <v>456</v>
      </c>
      <c r="B250" s="61" t="s">
        <v>650</v>
      </c>
      <c r="C250" s="62" t="s">
        <v>2891</v>
      </c>
      <c r="D250" s="63">
        <v>5</v>
      </c>
      <c r="E250" s="62"/>
      <c r="F250" s="65">
        <v>25</v>
      </c>
      <c r="G250" s="62"/>
      <c r="H250" s="66"/>
      <c r="I250" s="67"/>
      <c r="J250" s="67"/>
      <c r="K250" s="31" t="s">
        <v>65</v>
      </c>
      <c r="L250" s="68">
        <v>250</v>
      </c>
      <c r="M250" s="68"/>
      <c r="N250" s="69"/>
      <c r="O250" s="84" t="s">
        <v>653</v>
      </c>
      <c r="P250" s="84" t="s">
        <v>215</v>
      </c>
      <c r="Q250" s="88" t="s">
        <v>901</v>
      </c>
      <c r="R250" s="84" t="s">
        <v>456</v>
      </c>
      <c r="S250" s="84" t="s">
        <v>1294</v>
      </c>
      <c r="T250" s="90" t="str">
        <f>HYPERLINK("http://www.youtube.com/channel/UCZUQxrHy9tEz_3PEsa66c5g")</f>
        <v>http://www.youtube.com/channel/UCZUQxrHy9tEz_3PEsa66c5g</v>
      </c>
      <c r="U250" s="84"/>
      <c r="V250" s="84" t="s">
        <v>1487</v>
      </c>
      <c r="W250" s="90" t="str">
        <f>HYPERLINK("https://www.youtube.com/watch?v=lBULLJFAT50")</f>
        <v>https://www.youtube.com/watch?v=lBULLJFAT50</v>
      </c>
      <c r="X250" s="84" t="s">
        <v>1537</v>
      </c>
      <c r="Y250" s="84">
        <v>2</v>
      </c>
      <c r="Z250" s="93">
        <v>44593.32622685185</v>
      </c>
      <c r="AA250" s="93">
        <v>44593.32622685185</v>
      </c>
      <c r="AB250" s="84"/>
      <c r="AC250" s="84"/>
      <c r="AD250" s="88" t="s">
        <v>1874</v>
      </c>
      <c r="AE250" s="86">
        <v>1</v>
      </c>
      <c r="AF250" s="87" t="str">
        <f>REPLACE(INDEX(GroupVertices[Group],MATCH(Edges[[#This Row],[Vertex 1]],GroupVertices[Vertex],0)),1,1,"")</f>
        <v>2</v>
      </c>
      <c r="AG250" s="87" t="str">
        <f>REPLACE(INDEX(GroupVertices[Group],MATCH(Edges[[#This Row],[Vertex 2]],GroupVertices[Vertex],0)),1,1,"")</f>
        <v>2</v>
      </c>
      <c r="AH250" s="105"/>
      <c r="AI250" s="105"/>
      <c r="AJ250" s="105"/>
      <c r="AK250" s="105"/>
      <c r="AL250" s="105"/>
      <c r="AM250" s="105"/>
      <c r="AN250" s="105"/>
      <c r="AO250" s="105"/>
      <c r="AP250" s="105"/>
    </row>
    <row r="251" spans="1:42" ht="15">
      <c r="A251" s="61" t="s">
        <v>457</v>
      </c>
      <c r="B251" s="61" t="s">
        <v>650</v>
      </c>
      <c r="C251" s="62" t="s">
        <v>2891</v>
      </c>
      <c r="D251" s="63">
        <v>5</v>
      </c>
      <c r="E251" s="62"/>
      <c r="F251" s="65">
        <v>25</v>
      </c>
      <c r="G251" s="62"/>
      <c r="H251" s="66"/>
      <c r="I251" s="67"/>
      <c r="J251" s="67"/>
      <c r="K251" s="31" t="s">
        <v>65</v>
      </c>
      <c r="L251" s="68">
        <v>251</v>
      </c>
      <c r="M251" s="68"/>
      <c r="N251" s="69"/>
      <c r="O251" s="84" t="s">
        <v>653</v>
      </c>
      <c r="P251" s="84" t="s">
        <v>215</v>
      </c>
      <c r="Q251" s="88" t="s">
        <v>902</v>
      </c>
      <c r="R251" s="84" t="s">
        <v>457</v>
      </c>
      <c r="S251" s="84" t="s">
        <v>1295</v>
      </c>
      <c r="T251" s="90" t="str">
        <f>HYPERLINK("http://www.youtube.com/channel/UCYqYLW2PT8LnUZLQMYuriOg")</f>
        <v>http://www.youtube.com/channel/UCYqYLW2PT8LnUZLQMYuriOg</v>
      </c>
      <c r="U251" s="84"/>
      <c r="V251" s="84" t="s">
        <v>1487</v>
      </c>
      <c r="W251" s="90" t="str">
        <f>HYPERLINK("https://www.youtube.com/watch?v=lBULLJFAT50")</f>
        <v>https://www.youtube.com/watch?v=lBULLJFAT50</v>
      </c>
      <c r="X251" s="84" t="s">
        <v>1537</v>
      </c>
      <c r="Y251" s="84">
        <v>3</v>
      </c>
      <c r="Z251" s="93">
        <v>44621.973657407405</v>
      </c>
      <c r="AA251" s="93">
        <v>44621.973657407405</v>
      </c>
      <c r="AB251" s="84"/>
      <c r="AC251" s="84"/>
      <c r="AD251" s="88" t="s">
        <v>1874</v>
      </c>
      <c r="AE251" s="86">
        <v>1</v>
      </c>
      <c r="AF251" s="87" t="str">
        <f>REPLACE(INDEX(GroupVertices[Group],MATCH(Edges[[#This Row],[Vertex 1]],GroupVertices[Vertex],0)),1,1,"")</f>
        <v>2</v>
      </c>
      <c r="AG251" s="87" t="str">
        <f>REPLACE(INDEX(GroupVertices[Group],MATCH(Edges[[#This Row],[Vertex 2]],GroupVertices[Vertex],0)),1,1,"")</f>
        <v>2</v>
      </c>
      <c r="AH251" s="105"/>
      <c r="AI251" s="105"/>
      <c r="AJ251" s="105"/>
      <c r="AK251" s="105"/>
      <c r="AL251" s="105"/>
      <c r="AM251" s="105"/>
      <c r="AN251" s="105"/>
      <c r="AO251" s="105"/>
      <c r="AP251" s="105"/>
    </row>
    <row r="252" spans="1:42" ht="15">
      <c r="A252" s="61" t="s">
        <v>458</v>
      </c>
      <c r="B252" s="61" t="s">
        <v>650</v>
      </c>
      <c r="C252" s="62" t="s">
        <v>2891</v>
      </c>
      <c r="D252" s="63">
        <v>5</v>
      </c>
      <c r="E252" s="62"/>
      <c r="F252" s="65">
        <v>25</v>
      </c>
      <c r="G252" s="62"/>
      <c r="H252" s="66"/>
      <c r="I252" s="67"/>
      <c r="J252" s="67"/>
      <c r="K252" s="31" t="s">
        <v>65</v>
      </c>
      <c r="L252" s="68">
        <v>252</v>
      </c>
      <c r="M252" s="68"/>
      <c r="N252" s="69"/>
      <c r="O252" s="84" t="s">
        <v>653</v>
      </c>
      <c r="P252" s="84" t="s">
        <v>215</v>
      </c>
      <c r="Q252" s="88" t="s">
        <v>903</v>
      </c>
      <c r="R252" s="84" t="s">
        <v>458</v>
      </c>
      <c r="S252" s="84" t="s">
        <v>1296</v>
      </c>
      <c r="T252" s="90" t="str">
        <f>HYPERLINK("http://www.youtube.com/channel/UCabDbytB7HQvqL3FPb-P_FA")</f>
        <v>http://www.youtube.com/channel/UCabDbytB7HQvqL3FPb-P_FA</v>
      </c>
      <c r="U252" s="84"/>
      <c r="V252" s="84" t="s">
        <v>1487</v>
      </c>
      <c r="W252" s="90" t="str">
        <f>HYPERLINK("https://www.youtube.com/watch?v=lBULLJFAT50")</f>
        <v>https://www.youtube.com/watch?v=lBULLJFAT50</v>
      </c>
      <c r="X252" s="84" t="s">
        <v>1537</v>
      </c>
      <c r="Y252" s="84">
        <v>15</v>
      </c>
      <c r="Z252" s="93">
        <v>44866.38668981481</v>
      </c>
      <c r="AA252" s="93">
        <v>44866.38668981481</v>
      </c>
      <c r="AB252" s="84"/>
      <c r="AC252" s="84"/>
      <c r="AD252" s="88" t="s">
        <v>1874</v>
      </c>
      <c r="AE252" s="86">
        <v>1</v>
      </c>
      <c r="AF252" s="87" t="str">
        <f>REPLACE(INDEX(GroupVertices[Group],MATCH(Edges[[#This Row],[Vertex 1]],GroupVertices[Vertex],0)),1,1,"")</f>
        <v>2</v>
      </c>
      <c r="AG252" s="87" t="str">
        <f>REPLACE(INDEX(GroupVertices[Group],MATCH(Edges[[#This Row],[Vertex 2]],GroupVertices[Vertex],0)),1,1,"")</f>
        <v>2</v>
      </c>
      <c r="AH252" s="105"/>
      <c r="AI252" s="105"/>
      <c r="AJ252" s="105"/>
      <c r="AK252" s="105"/>
      <c r="AL252" s="105"/>
      <c r="AM252" s="105"/>
      <c r="AN252" s="105"/>
      <c r="AO252" s="105"/>
      <c r="AP252" s="105"/>
    </row>
    <row r="253" spans="1:42" ht="15">
      <c r="A253" s="61" t="s">
        <v>459</v>
      </c>
      <c r="B253" s="61" t="s">
        <v>650</v>
      </c>
      <c r="C253" s="62" t="s">
        <v>2891</v>
      </c>
      <c r="D253" s="63">
        <v>5</v>
      </c>
      <c r="E253" s="62"/>
      <c r="F253" s="65">
        <v>25</v>
      </c>
      <c r="G253" s="62"/>
      <c r="H253" s="66"/>
      <c r="I253" s="67"/>
      <c r="J253" s="67"/>
      <c r="K253" s="31" t="s">
        <v>65</v>
      </c>
      <c r="L253" s="68">
        <v>253</v>
      </c>
      <c r="M253" s="68"/>
      <c r="N253" s="69"/>
      <c r="O253" s="84" t="s">
        <v>653</v>
      </c>
      <c r="P253" s="84" t="s">
        <v>215</v>
      </c>
      <c r="Q253" s="88" t="s">
        <v>904</v>
      </c>
      <c r="R253" s="84" t="s">
        <v>459</v>
      </c>
      <c r="S253" s="84" t="s">
        <v>1297</v>
      </c>
      <c r="T253" s="90" t="str">
        <f>HYPERLINK("http://www.youtube.com/channel/UCp7EWuBqzXVgDgvzaDs89vg")</f>
        <v>http://www.youtube.com/channel/UCp7EWuBqzXVgDgvzaDs89vg</v>
      </c>
      <c r="U253" s="84"/>
      <c r="V253" s="84" t="s">
        <v>1487</v>
      </c>
      <c r="W253" s="90" t="str">
        <f>HYPERLINK("https://www.youtube.com/watch?v=lBULLJFAT50")</f>
        <v>https://www.youtube.com/watch?v=lBULLJFAT50</v>
      </c>
      <c r="X253" s="84" t="s">
        <v>1537</v>
      </c>
      <c r="Y253" s="84">
        <v>1</v>
      </c>
      <c r="Z253" s="84" t="s">
        <v>1693</v>
      </c>
      <c r="AA253" s="84" t="s">
        <v>1693</v>
      </c>
      <c r="AB253" s="84"/>
      <c r="AC253" s="84"/>
      <c r="AD253" s="88" t="s">
        <v>1874</v>
      </c>
      <c r="AE253" s="86">
        <v>1</v>
      </c>
      <c r="AF253" s="87" t="str">
        <f>REPLACE(INDEX(GroupVertices[Group],MATCH(Edges[[#This Row],[Vertex 1]],GroupVertices[Vertex],0)),1,1,"")</f>
        <v>2</v>
      </c>
      <c r="AG253" s="87" t="str">
        <f>REPLACE(INDEX(GroupVertices[Group],MATCH(Edges[[#This Row],[Vertex 2]],GroupVertices[Vertex],0)),1,1,"")</f>
        <v>2</v>
      </c>
      <c r="AH253" s="105"/>
      <c r="AI253" s="105"/>
      <c r="AJ253" s="105"/>
      <c r="AK253" s="105"/>
      <c r="AL253" s="105"/>
      <c r="AM253" s="105"/>
      <c r="AN253" s="105"/>
      <c r="AO253" s="105"/>
      <c r="AP253" s="105"/>
    </row>
    <row r="254" spans="1:42" ht="15">
      <c r="A254" s="61" t="s">
        <v>460</v>
      </c>
      <c r="B254" s="61" t="s">
        <v>650</v>
      </c>
      <c r="C254" s="62" t="s">
        <v>2891</v>
      </c>
      <c r="D254" s="63">
        <v>5</v>
      </c>
      <c r="E254" s="62"/>
      <c r="F254" s="65">
        <v>25</v>
      </c>
      <c r="G254" s="62"/>
      <c r="H254" s="66"/>
      <c r="I254" s="67"/>
      <c r="J254" s="67"/>
      <c r="K254" s="31" t="s">
        <v>65</v>
      </c>
      <c r="L254" s="68">
        <v>254</v>
      </c>
      <c r="M254" s="68"/>
      <c r="N254" s="69"/>
      <c r="O254" s="84" t="s">
        <v>653</v>
      </c>
      <c r="P254" s="84" t="s">
        <v>215</v>
      </c>
      <c r="Q254" s="88" t="s">
        <v>905</v>
      </c>
      <c r="R254" s="84" t="s">
        <v>460</v>
      </c>
      <c r="S254" s="84" t="s">
        <v>1298</v>
      </c>
      <c r="T254" s="90" t="str">
        <f>HYPERLINK("http://www.youtube.com/channel/UCLRMv-XLvX-TLUuVPC4xN0w")</f>
        <v>http://www.youtube.com/channel/UCLRMv-XLvX-TLUuVPC4xN0w</v>
      </c>
      <c r="U254" s="84"/>
      <c r="V254" s="84" t="s">
        <v>1487</v>
      </c>
      <c r="W254" s="90" t="str">
        <f>HYPERLINK("https://www.youtube.com/watch?v=lBULLJFAT50")</f>
        <v>https://www.youtube.com/watch?v=lBULLJFAT50</v>
      </c>
      <c r="X254" s="84" t="s">
        <v>1537</v>
      </c>
      <c r="Y254" s="84">
        <v>0</v>
      </c>
      <c r="Z254" s="84" t="s">
        <v>1694</v>
      </c>
      <c r="AA254" s="84" t="s">
        <v>1694</v>
      </c>
      <c r="AB254" s="84"/>
      <c r="AC254" s="84"/>
      <c r="AD254" s="88" t="s">
        <v>1874</v>
      </c>
      <c r="AE254" s="86">
        <v>1</v>
      </c>
      <c r="AF254" s="87" t="str">
        <f>REPLACE(INDEX(GroupVertices[Group],MATCH(Edges[[#This Row],[Vertex 1]],GroupVertices[Vertex],0)),1,1,"")</f>
        <v>2</v>
      </c>
      <c r="AG254" s="87" t="str">
        <f>REPLACE(INDEX(GroupVertices[Group],MATCH(Edges[[#This Row],[Vertex 2]],GroupVertices[Vertex],0)),1,1,"")</f>
        <v>2</v>
      </c>
      <c r="AH254" s="105"/>
      <c r="AI254" s="105"/>
      <c r="AJ254" s="105"/>
      <c r="AK254" s="105"/>
      <c r="AL254" s="105"/>
      <c r="AM254" s="105"/>
      <c r="AN254" s="105"/>
      <c r="AO254" s="105"/>
      <c r="AP254" s="105"/>
    </row>
    <row r="255" spans="1:42" ht="15">
      <c r="A255" s="61" t="s">
        <v>461</v>
      </c>
      <c r="B255" s="61" t="s">
        <v>650</v>
      </c>
      <c r="C255" s="62" t="s">
        <v>2891</v>
      </c>
      <c r="D255" s="63">
        <v>5</v>
      </c>
      <c r="E255" s="62"/>
      <c r="F255" s="65">
        <v>25</v>
      </c>
      <c r="G255" s="62"/>
      <c r="H255" s="66"/>
      <c r="I255" s="67"/>
      <c r="J255" s="67"/>
      <c r="K255" s="31" t="s">
        <v>65</v>
      </c>
      <c r="L255" s="68">
        <v>255</v>
      </c>
      <c r="M255" s="68"/>
      <c r="N255" s="69"/>
      <c r="O255" s="84" t="s">
        <v>653</v>
      </c>
      <c r="P255" s="84" t="s">
        <v>215</v>
      </c>
      <c r="Q255" s="88" t="s">
        <v>906</v>
      </c>
      <c r="R255" s="84" t="s">
        <v>461</v>
      </c>
      <c r="S255" s="84" t="s">
        <v>1299</v>
      </c>
      <c r="T255" s="90" t="str">
        <f>HYPERLINK("http://www.youtube.com/channel/UCJDa4Ydx-N1Nmuw91RmWFNw")</f>
        <v>http://www.youtube.com/channel/UCJDa4Ydx-N1Nmuw91RmWFNw</v>
      </c>
      <c r="U255" s="84"/>
      <c r="V255" s="84" t="s">
        <v>1487</v>
      </c>
      <c r="W255" s="90" t="str">
        <f>HYPERLINK("https://www.youtube.com/watch?v=lBULLJFAT50")</f>
        <v>https://www.youtube.com/watch?v=lBULLJFAT50</v>
      </c>
      <c r="X255" s="84" t="s">
        <v>1537</v>
      </c>
      <c r="Y255" s="84">
        <v>0</v>
      </c>
      <c r="Z255" s="84" t="s">
        <v>1695</v>
      </c>
      <c r="AA255" s="84" t="s">
        <v>1695</v>
      </c>
      <c r="AB255" s="84"/>
      <c r="AC255" s="84"/>
      <c r="AD255" s="88" t="s">
        <v>1874</v>
      </c>
      <c r="AE255" s="86">
        <v>1</v>
      </c>
      <c r="AF255" s="87" t="str">
        <f>REPLACE(INDEX(GroupVertices[Group],MATCH(Edges[[#This Row],[Vertex 1]],GroupVertices[Vertex],0)),1,1,"")</f>
        <v>2</v>
      </c>
      <c r="AG255" s="87" t="str">
        <f>REPLACE(INDEX(GroupVertices[Group],MATCH(Edges[[#This Row],[Vertex 2]],GroupVertices[Vertex],0)),1,1,"")</f>
        <v>2</v>
      </c>
      <c r="AH255" s="105"/>
      <c r="AI255" s="105"/>
      <c r="AJ255" s="105"/>
      <c r="AK255" s="105"/>
      <c r="AL255" s="105"/>
      <c r="AM255" s="105"/>
      <c r="AN255" s="105"/>
      <c r="AO255" s="105"/>
      <c r="AP255" s="105"/>
    </row>
    <row r="256" spans="1:42" ht="15">
      <c r="A256" s="61" t="s">
        <v>462</v>
      </c>
      <c r="B256" s="61" t="s">
        <v>650</v>
      </c>
      <c r="C256" s="62" t="s">
        <v>2891</v>
      </c>
      <c r="D256" s="63">
        <v>5</v>
      </c>
      <c r="E256" s="62"/>
      <c r="F256" s="65">
        <v>25</v>
      </c>
      <c r="G256" s="62"/>
      <c r="H256" s="66"/>
      <c r="I256" s="67"/>
      <c r="J256" s="67"/>
      <c r="K256" s="31" t="s">
        <v>65</v>
      </c>
      <c r="L256" s="68">
        <v>256</v>
      </c>
      <c r="M256" s="68"/>
      <c r="N256" s="69"/>
      <c r="O256" s="84" t="s">
        <v>653</v>
      </c>
      <c r="P256" s="84" t="s">
        <v>215</v>
      </c>
      <c r="Q256" s="88" t="s">
        <v>907</v>
      </c>
      <c r="R256" s="84" t="s">
        <v>462</v>
      </c>
      <c r="S256" s="84" t="s">
        <v>1300</v>
      </c>
      <c r="T256" s="90" t="str">
        <f>HYPERLINK("http://www.youtube.com/channel/UC_e-39jt77tRyz50v16q58g")</f>
        <v>http://www.youtube.com/channel/UC_e-39jt77tRyz50v16q58g</v>
      </c>
      <c r="U256" s="84"/>
      <c r="V256" s="84" t="s">
        <v>1487</v>
      </c>
      <c r="W256" s="90" t="str">
        <f>HYPERLINK("https://www.youtube.com/watch?v=lBULLJFAT50")</f>
        <v>https://www.youtube.com/watch?v=lBULLJFAT50</v>
      </c>
      <c r="X256" s="84" t="s">
        <v>1537</v>
      </c>
      <c r="Y256" s="84">
        <v>0</v>
      </c>
      <c r="Z256" s="84" t="s">
        <v>1696</v>
      </c>
      <c r="AA256" s="84" t="s">
        <v>1696</v>
      </c>
      <c r="AB256" s="84"/>
      <c r="AC256" s="84"/>
      <c r="AD256" s="88" t="s">
        <v>1874</v>
      </c>
      <c r="AE256" s="86">
        <v>1</v>
      </c>
      <c r="AF256" s="87" t="str">
        <f>REPLACE(INDEX(GroupVertices[Group],MATCH(Edges[[#This Row],[Vertex 1]],GroupVertices[Vertex],0)),1,1,"")</f>
        <v>2</v>
      </c>
      <c r="AG256" s="87" t="str">
        <f>REPLACE(INDEX(GroupVertices[Group],MATCH(Edges[[#This Row],[Vertex 2]],GroupVertices[Vertex],0)),1,1,"")</f>
        <v>2</v>
      </c>
      <c r="AH256" s="105"/>
      <c r="AI256" s="105"/>
      <c r="AJ256" s="105"/>
      <c r="AK256" s="105"/>
      <c r="AL256" s="105"/>
      <c r="AM256" s="105"/>
      <c r="AN256" s="105"/>
      <c r="AO256" s="105"/>
      <c r="AP256" s="105"/>
    </row>
    <row r="257" spans="1:42" ht="15">
      <c r="A257" s="61" t="s">
        <v>463</v>
      </c>
      <c r="B257" s="61" t="s">
        <v>650</v>
      </c>
      <c r="C257" s="62" t="s">
        <v>2891</v>
      </c>
      <c r="D257" s="63">
        <v>5</v>
      </c>
      <c r="E257" s="62"/>
      <c r="F257" s="65">
        <v>25</v>
      </c>
      <c r="G257" s="62"/>
      <c r="H257" s="66"/>
      <c r="I257" s="67"/>
      <c r="J257" s="67"/>
      <c r="K257" s="31" t="s">
        <v>65</v>
      </c>
      <c r="L257" s="68">
        <v>257</v>
      </c>
      <c r="M257" s="68"/>
      <c r="N257" s="69"/>
      <c r="O257" s="84" t="s">
        <v>653</v>
      </c>
      <c r="P257" s="84" t="s">
        <v>215</v>
      </c>
      <c r="Q257" s="88" t="s">
        <v>908</v>
      </c>
      <c r="R257" s="84" t="s">
        <v>463</v>
      </c>
      <c r="S257" s="84" t="s">
        <v>1301</v>
      </c>
      <c r="T257" s="90" t="str">
        <f>HYPERLINK("http://www.youtube.com/channel/UCpswSTKtiv6vAFFrZaH8caw")</f>
        <v>http://www.youtube.com/channel/UCpswSTKtiv6vAFFrZaH8caw</v>
      </c>
      <c r="U257" s="84"/>
      <c r="V257" s="84" t="s">
        <v>1487</v>
      </c>
      <c r="W257" s="90" t="str">
        <f>HYPERLINK("https://www.youtube.com/watch?v=lBULLJFAT50")</f>
        <v>https://www.youtube.com/watch?v=lBULLJFAT50</v>
      </c>
      <c r="X257" s="84" t="s">
        <v>1537</v>
      </c>
      <c r="Y257" s="84">
        <v>0</v>
      </c>
      <c r="Z257" s="84" t="s">
        <v>1697</v>
      </c>
      <c r="AA257" s="84" t="s">
        <v>1697</v>
      </c>
      <c r="AB257" s="84" t="s">
        <v>1861</v>
      </c>
      <c r="AC257" s="84" t="s">
        <v>1869</v>
      </c>
      <c r="AD257" s="88" t="s">
        <v>1874</v>
      </c>
      <c r="AE257" s="86">
        <v>1</v>
      </c>
      <c r="AF257" s="87" t="str">
        <f>REPLACE(INDEX(GroupVertices[Group],MATCH(Edges[[#This Row],[Vertex 1]],GroupVertices[Vertex],0)),1,1,"")</f>
        <v>2</v>
      </c>
      <c r="AG257" s="87" t="str">
        <f>REPLACE(INDEX(GroupVertices[Group],MATCH(Edges[[#This Row],[Vertex 2]],GroupVertices[Vertex],0)),1,1,"")</f>
        <v>2</v>
      </c>
      <c r="AH257" s="105"/>
      <c r="AI257" s="105"/>
      <c r="AJ257" s="105"/>
      <c r="AK257" s="105"/>
      <c r="AL257" s="105"/>
      <c r="AM257" s="105"/>
      <c r="AN257" s="105"/>
      <c r="AO257" s="105"/>
      <c r="AP257" s="105"/>
    </row>
    <row r="258" spans="1:42" ht="15">
      <c r="A258" s="61" t="s">
        <v>464</v>
      </c>
      <c r="B258" s="61" t="s">
        <v>650</v>
      </c>
      <c r="C258" s="62" t="s">
        <v>2891</v>
      </c>
      <c r="D258" s="63">
        <v>5</v>
      </c>
      <c r="E258" s="62"/>
      <c r="F258" s="65">
        <v>25</v>
      </c>
      <c r="G258" s="62"/>
      <c r="H258" s="66"/>
      <c r="I258" s="67"/>
      <c r="J258" s="67"/>
      <c r="K258" s="31" t="s">
        <v>65</v>
      </c>
      <c r="L258" s="68">
        <v>258</v>
      </c>
      <c r="M258" s="68"/>
      <c r="N258" s="69"/>
      <c r="O258" s="84" t="s">
        <v>653</v>
      </c>
      <c r="P258" s="84" t="s">
        <v>215</v>
      </c>
      <c r="Q258" s="88" t="s">
        <v>909</v>
      </c>
      <c r="R258" s="84" t="s">
        <v>464</v>
      </c>
      <c r="S258" s="84" t="s">
        <v>1302</v>
      </c>
      <c r="T258" s="90" t="str">
        <f>HYPERLINK("http://www.youtube.com/channel/UCXUZ9R0I5gcUdoXKzCHxRFg")</f>
        <v>http://www.youtube.com/channel/UCXUZ9R0I5gcUdoXKzCHxRFg</v>
      </c>
      <c r="U258" s="84"/>
      <c r="V258" s="84" t="s">
        <v>1487</v>
      </c>
      <c r="W258" s="90" t="str">
        <f>HYPERLINK("https://www.youtube.com/watch?v=lBULLJFAT50")</f>
        <v>https://www.youtube.com/watch?v=lBULLJFAT50</v>
      </c>
      <c r="X258" s="84" t="s">
        <v>1537</v>
      </c>
      <c r="Y258" s="84">
        <v>5</v>
      </c>
      <c r="Z258" s="93">
        <v>44683.613287037035</v>
      </c>
      <c r="AA258" s="93">
        <v>44683.613287037035</v>
      </c>
      <c r="AB258" s="84"/>
      <c r="AC258" s="84"/>
      <c r="AD258" s="88" t="s">
        <v>1874</v>
      </c>
      <c r="AE258" s="86">
        <v>1</v>
      </c>
      <c r="AF258" s="87" t="str">
        <f>REPLACE(INDEX(GroupVertices[Group],MATCH(Edges[[#This Row],[Vertex 1]],GroupVertices[Vertex],0)),1,1,"")</f>
        <v>2</v>
      </c>
      <c r="AG258" s="87" t="str">
        <f>REPLACE(INDEX(GroupVertices[Group],MATCH(Edges[[#This Row],[Vertex 2]],GroupVertices[Vertex],0)),1,1,"")</f>
        <v>2</v>
      </c>
      <c r="AH258" s="105"/>
      <c r="AI258" s="105"/>
      <c r="AJ258" s="105"/>
      <c r="AK258" s="105"/>
      <c r="AL258" s="105"/>
      <c r="AM258" s="105"/>
      <c r="AN258" s="105"/>
      <c r="AO258" s="105"/>
      <c r="AP258" s="105"/>
    </row>
    <row r="259" spans="1:42" ht="15">
      <c r="A259" s="61" t="s">
        <v>465</v>
      </c>
      <c r="B259" s="61" t="s">
        <v>650</v>
      </c>
      <c r="C259" s="62" t="s">
        <v>2891</v>
      </c>
      <c r="D259" s="63">
        <v>5</v>
      </c>
      <c r="E259" s="62"/>
      <c r="F259" s="65">
        <v>25</v>
      </c>
      <c r="G259" s="62"/>
      <c r="H259" s="66"/>
      <c r="I259" s="67"/>
      <c r="J259" s="67"/>
      <c r="K259" s="31" t="s">
        <v>65</v>
      </c>
      <c r="L259" s="68">
        <v>259</v>
      </c>
      <c r="M259" s="68"/>
      <c r="N259" s="69"/>
      <c r="O259" s="84" t="s">
        <v>653</v>
      </c>
      <c r="P259" s="84" t="s">
        <v>215</v>
      </c>
      <c r="Q259" s="88" t="s">
        <v>910</v>
      </c>
      <c r="R259" s="84" t="s">
        <v>465</v>
      </c>
      <c r="S259" s="84" t="s">
        <v>1303</v>
      </c>
      <c r="T259" s="90" t="str">
        <f>HYPERLINK("http://www.youtube.com/channel/UC2z5D3ug62MVXMKJr4sdDGQ")</f>
        <v>http://www.youtube.com/channel/UC2z5D3ug62MVXMKJr4sdDGQ</v>
      </c>
      <c r="U259" s="84"/>
      <c r="V259" s="84" t="s">
        <v>1487</v>
      </c>
      <c r="W259" s="90" t="str">
        <f>HYPERLINK("https://www.youtube.com/watch?v=lBULLJFAT50")</f>
        <v>https://www.youtube.com/watch?v=lBULLJFAT50</v>
      </c>
      <c r="X259" s="84" t="s">
        <v>1537</v>
      </c>
      <c r="Y259" s="84">
        <v>4</v>
      </c>
      <c r="Z259" s="93">
        <v>44683.66893518518</v>
      </c>
      <c r="AA259" s="93">
        <v>44683.66893518518</v>
      </c>
      <c r="AB259" s="84"/>
      <c r="AC259" s="84"/>
      <c r="AD259" s="88" t="s">
        <v>1874</v>
      </c>
      <c r="AE259" s="86">
        <v>1</v>
      </c>
      <c r="AF259" s="87" t="str">
        <f>REPLACE(INDEX(GroupVertices[Group],MATCH(Edges[[#This Row],[Vertex 1]],GroupVertices[Vertex],0)),1,1,"")</f>
        <v>2</v>
      </c>
      <c r="AG259" s="87" t="str">
        <f>REPLACE(INDEX(GroupVertices[Group],MATCH(Edges[[#This Row],[Vertex 2]],GroupVertices[Vertex],0)),1,1,"")</f>
        <v>2</v>
      </c>
      <c r="AH259" s="105"/>
      <c r="AI259" s="105"/>
      <c r="AJ259" s="105"/>
      <c r="AK259" s="105"/>
      <c r="AL259" s="105"/>
      <c r="AM259" s="105"/>
      <c r="AN259" s="105"/>
      <c r="AO259" s="105"/>
      <c r="AP259" s="105"/>
    </row>
    <row r="260" spans="1:42" ht="15">
      <c r="A260" s="61" t="s">
        <v>466</v>
      </c>
      <c r="B260" s="61" t="s">
        <v>650</v>
      </c>
      <c r="C260" s="62" t="s">
        <v>2891</v>
      </c>
      <c r="D260" s="63">
        <v>5</v>
      </c>
      <c r="E260" s="62"/>
      <c r="F260" s="65">
        <v>25</v>
      </c>
      <c r="G260" s="62"/>
      <c r="H260" s="66"/>
      <c r="I260" s="67"/>
      <c r="J260" s="67"/>
      <c r="K260" s="31" t="s">
        <v>65</v>
      </c>
      <c r="L260" s="68">
        <v>260</v>
      </c>
      <c r="M260" s="68"/>
      <c r="N260" s="69"/>
      <c r="O260" s="84" t="s">
        <v>653</v>
      </c>
      <c r="P260" s="84" t="s">
        <v>215</v>
      </c>
      <c r="Q260" s="88" t="s">
        <v>911</v>
      </c>
      <c r="R260" s="84" t="s">
        <v>466</v>
      </c>
      <c r="S260" s="84" t="s">
        <v>1304</v>
      </c>
      <c r="T260" s="90" t="str">
        <f>HYPERLINK("http://www.youtube.com/channel/UCayhVqIBLOkxqjFFwTOXqKw")</f>
        <v>http://www.youtube.com/channel/UCayhVqIBLOkxqjFFwTOXqKw</v>
      </c>
      <c r="U260" s="84"/>
      <c r="V260" s="84" t="s">
        <v>1487</v>
      </c>
      <c r="W260" s="90" t="str">
        <f>HYPERLINK("https://www.youtube.com/watch?v=lBULLJFAT50")</f>
        <v>https://www.youtube.com/watch?v=lBULLJFAT50</v>
      </c>
      <c r="X260" s="84" t="s">
        <v>1537</v>
      </c>
      <c r="Y260" s="84">
        <v>0</v>
      </c>
      <c r="Z260" s="93">
        <v>44775.74493055556</v>
      </c>
      <c r="AA260" s="93">
        <v>44775.74493055556</v>
      </c>
      <c r="AB260" s="84"/>
      <c r="AC260" s="84"/>
      <c r="AD260" s="88" t="s">
        <v>1874</v>
      </c>
      <c r="AE260" s="86">
        <v>1</v>
      </c>
      <c r="AF260" s="87" t="str">
        <f>REPLACE(INDEX(GroupVertices[Group],MATCH(Edges[[#This Row],[Vertex 1]],GroupVertices[Vertex],0)),1,1,"")</f>
        <v>2</v>
      </c>
      <c r="AG260" s="87" t="str">
        <f>REPLACE(INDEX(GroupVertices[Group],MATCH(Edges[[#This Row],[Vertex 2]],GroupVertices[Vertex],0)),1,1,"")</f>
        <v>2</v>
      </c>
      <c r="AH260" s="105"/>
      <c r="AI260" s="105"/>
      <c r="AJ260" s="105"/>
      <c r="AK260" s="105"/>
      <c r="AL260" s="105"/>
      <c r="AM260" s="105"/>
      <c r="AN260" s="105"/>
      <c r="AO260" s="105"/>
      <c r="AP260" s="105"/>
    </row>
    <row r="261" spans="1:42" ht="15">
      <c r="A261" s="61" t="s">
        <v>467</v>
      </c>
      <c r="B261" s="61" t="s">
        <v>650</v>
      </c>
      <c r="C261" s="62" t="s">
        <v>2891</v>
      </c>
      <c r="D261" s="63">
        <v>5</v>
      </c>
      <c r="E261" s="62"/>
      <c r="F261" s="65">
        <v>25</v>
      </c>
      <c r="G261" s="62"/>
      <c r="H261" s="66"/>
      <c r="I261" s="67"/>
      <c r="J261" s="67"/>
      <c r="K261" s="31" t="s">
        <v>65</v>
      </c>
      <c r="L261" s="68">
        <v>261</v>
      </c>
      <c r="M261" s="68"/>
      <c r="N261" s="69"/>
      <c r="O261" s="84" t="s">
        <v>653</v>
      </c>
      <c r="P261" s="84" t="s">
        <v>215</v>
      </c>
      <c r="Q261" s="88" t="s">
        <v>912</v>
      </c>
      <c r="R261" s="84" t="s">
        <v>467</v>
      </c>
      <c r="S261" s="84" t="s">
        <v>1305</v>
      </c>
      <c r="T261" s="90" t="str">
        <f>HYPERLINK("http://www.youtube.com/channel/UCkaCGGmbD9HJCSW7BoEDQig")</f>
        <v>http://www.youtube.com/channel/UCkaCGGmbD9HJCSW7BoEDQig</v>
      </c>
      <c r="U261" s="84"/>
      <c r="V261" s="84" t="s">
        <v>1487</v>
      </c>
      <c r="W261" s="90" t="str">
        <f>HYPERLINK("https://www.youtube.com/watch?v=lBULLJFAT50")</f>
        <v>https://www.youtube.com/watch?v=lBULLJFAT50</v>
      </c>
      <c r="X261" s="84" t="s">
        <v>1537</v>
      </c>
      <c r="Y261" s="84">
        <v>0</v>
      </c>
      <c r="Z261" s="84" t="s">
        <v>1698</v>
      </c>
      <c r="AA261" s="84" t="s">
        <v>1698</v>
      </c>
      <c r="AB261" s="84" t="s">
        <v>1862</v>
      </c>
      <c r="AC261" s="84" t="s">
        <v>1869</v>
      </c>
      <c r="AD261" s="88" t="s">
        <v>1874</v>
      </c>
      <c r="AE261" s="86">
        <v>1</v>
      </c>
      <c r="AF261" s="87" t="str">
        <f>REPLACE(INDEX(GroupVertices[Group],MATCH(Edges[[#This Row],[Vertex 1]],GroupVertices[Vertex],0)),1,1,"")</f>
        <v>2</v>
      </c>
      <c r="AG261" s="87" t="str">
        <f>REPLACE(INDEX(GroupVertices[Group],MATCH(Edges[[#This Row],[Vertex 2]],GroupVertices[Vertex],0)),1,1,"")</f>
        <v>2</v>
      </c>
      <c r="AH261" s="105"/>
      <c r="AI261" s="105"/>
      <c r="AJ261" s="105"/>
      <c r="AK261" s="105"/>
      <c r="AL261" s="105"/>
      <c r="AM261" s="105"/>
      <c r="AN261" s="105"/>
      <c r="AO261" s="105"/>
      <c r="AP261" s="105"/>
    </row>
    <row r="262" spans="1:42" ht="15">
      <c r="A262" s="61" t="s">
        <v>468</v>
      </c>
      <c r="B262" s="61" t="s">
        <v>650</v>
      </c>
      <c r="C262" s="62" t="s">
        <v>2891</v>
      </c>
      <c r="D262" s="63">
        <v>5</v>
      </c>
      <c r="E262" s="62"/>
      <c r="F262" s="65">
        <v>25</v>
      </c>
      <c r="G262" s="62"/>
      <c r="H262" s="66"/>
      <c r="I262" s="67"/>
      <c r="J262" s="67"/>
      <c r="K262" s="31" t="s">
        <v>65</v>
      </c>
      <c r="L262" s="68">
        <v>262</v>
      </c>
      <c r="M262" s="68"/>
      <c r="N262" s="69"/>
      <c r="O262" s="84" t="s">
        <v>653</v>
      </c>
      <c r="P262" s="84" t="s">
        <v>215</v>
      </c>
      <c r="Q262" s="88" t="s">
        <v>913</v>
      </c>
      <c r="R262" s="84" t="s">
        <v>468</v>
      </c>
      <c r="S262" s="84" t="s">
        <v>1306</v>
      </c>
      <c r="T262" s="90" t="str">
        <f>HYPERLINK("http://www.youtube.com/channel/UCmkH1geLuff_x2PLuCmv2mw")</f>
        <v>http://www.youtube.com/channel/UCmkH1geLuff_x2PLuCmv2mw</v>
      </c>
      <c r="U262" s="84"/>
      <c r="V262" s="84" t="s">
        <v>1487</v>
      </c>
      <c r="W262" s="90" t="str">
        <f>HYPERLINK("https://www.youtube.com/watch?v=lBULLJFAT50")</f>
        <v>https://www.youtube.com/watch?v=lBULLJFAT50</v>
      </c>
      <c r="X262" s="84" t="s">
        <v>1537</v>
      </c>
      <c r="Y262" s="84">
        <v>12</v>
      </c>
      <c r="Z262" s="93">
        <v>44595.10171296296</v>
      </c>
      <c r="AA262" s="93">
        <v>44595.10171296296</v>
      </c>
      <c r="AB262" s="84"/>
      <c r="AC262" s="84"/>
      <c r="AD262" s="88" t="s">
        <v>1874</v>
      </c>
      <c r="AE262" s="86">
        <v>1</v>
      </c>
      <c r="AF262" s="87" t="str">
        <f>REPLACE(INDEX(GroupVertices[Group],MATCH(Edges[[#This Row],[Vertex 1]],GroupVertices[Vertex],0)),1,1,"")</f>
        <v>2</v>
      </c>
      <c r="AG262" s="87" t="str">
        <f>REPLACE(INDEX(GroupVertices[Group],MATCH(Edges[[#This Row],[Vertex 2]],GroupVertices[Vertex],0)),1,1,"")</f>
        <v>2</v>
      </c>
      <c r="AH262" s="105"/>
      <c r="AI262" s="105"/>
      <c r="AJ262" s="105"/>
      <c r="AK262" s="105"/>
      <c r="AL262" s="105"/>
      <c r="AM262" s="105"/>
      <c r="AN262" s="105"/>
      <c r="AO262" s="105"/>
      <c r="AP262" s="105"/>
    </row>
    <row r="263" spans="1:42" ht="15">
      <c r="A263" s="61" t="s">
        <v>469</v>
      </c>
      <c r="B263" s="61" t="s">
        <v>650</v>
      </c>
      <c r="C263" s="62" t="s">
        <v>2891</v>
      </c>
      <c r="D263" s="63">
        <v>5</v>
      </c>
      <c r="E263" s="62"/>
      <c r="F263" s="65">
        <v>25</v>
      </c>
      <c r="G263" s="62"/>
      <c r="H263" s="66"/>
      <c r="I263" s="67"/>
      <c r="J263" s="67"/>
      <c r="K263" s="31" t="s">
        <v>65</v>
      </c>
      <c r="L263" s="68">
        <v>263</v>
      </c>
      <c r="M263" s="68"/>
      <c r="N263" s="69"/>
      <c r="O263" s="84" t="s">
        <v>653</v>
      </c>
      <c r="P263" s="84" t="s">
        <v>215</v>
      </c>
      <c r="Q263" s="88" t="s">
        <v>914</v>
      </c>
      <c r="R263" s="84" t="s">
        <v>469</v>
      </c>
      <c r="S263" s="84" t="s">
        <v>1307</v>
      </c>
      <c r="T263" s="90" t="str">
        <f>HYPERLINK("http://www.youtube.com/channel/UChRUVc6uxgZF2A14dGfPzCw")</f>
        <v>http://www.youtube.com/channel/UChRUVc6uxgZF2A14dGfPzCw</v>
      </c>
      <c r="U263" s="84"/>
      <c r="V263" s="84" t="s">
        <v>1487</v>
      </c>
      <c r="W263" s="90" t="str">
        <f>HYPERLINK("https://www.youtube.com/watch?v=lBULLJFAT50")</f>
        <v>https://www.youtube.com/watch?v=lBULLJFAT50</v>
      </c>
      <c r="X263" s="84" t="s">
        <v>1537</v>
      </c>
      <c r="Y263" s="84">
        <v>0</v>
      </c>
      <c r="Z263" s="93">
        <v>44684.81355324074</v>
      </c>
      <c r="AA263" s="93">
        <v>44684.81355324074</v>
      </c>
      <c r="AB263" s="84"/>
      <c r="AC263" s="84"/>
      <c r="AD263" s="88" t="s">
        <v>1874</v>
      </c>
      <c r="AE263" s="86">
        <v>1</v>
      </c>
      <c r="AF263" s="87" t="str">
        <f>REPLACE(INDEX(GroupVertices[Group],MATCH(Edges[[#This Row],[Vertex 1]],GroupVertices[Vertex],0)),1,1,"")</f>
        <v>2</v>
      </c>
      <c r="AG263" s="87" t="str">
        <f>REPLACE(INDEX(GroupVertices[Group],MATCH(Edges[[#This Row],[Vertex 2]],GroupVertices[Vertex],0)),1,1,"")</f>
        <v>2</v>
      </c>
      <c r="AH263" s="105"/>
      <c r="AI263" s="105"/>
      <c r="AJ263" s="105"/>
      <c r="AK263" s="105"/>
      <c r="AL263" s="105"/>
      <c r="AM263" s="105"/>
      <c r="AN263" s="105"/>
      <c r="AO263" s="105"/>
      <c r="AP263" s="105"/>
    </row>
    <row r="264" spans="1:42" ht="15">
      <c r="A264" s="61" t="s">
        <v>470</v>
      </c>
      <c r="B264" s="61" t="s">
        <v>650</v>
      </c>
      <c r="C264" s="62" t="s">
        <v>2892</v>
      </c>
      <c r="D264" s="63">
        <v>5.833333333333333</v>
      </c>
      <c r="E264" s="62"/>
      <c r="F264" s="65">
        <v>15</v>
      </c>
      <c r="G264" s="62"/>
      <c r="H264" s="66"/>
      <c r="I264" s="67"/>
      <c r="J264" s="67"/>
      <c r="K264" s="31" t="s">
        <v>65</v>
      </c>
      <c r="L264" s="68">
        <v>264</v>
      </c>
      <c r="M264" s="68"/>
      <c r="N264" s="69"/>
      <c r="O264" s="84" t="s">
        <v>653</v>
      </c>
      <c r="P264" s="84" t="s">
        <v>215</v>
      </c>
      <c r="Q264" s="88" t="s">
        <v>915</v>
      </c>
      <c r="R264" s="84" t="s">
        <v>470</v>
      </c>
      <c r="S264" s="84" t="s">
        <v>1308</v>
      </c>
      <c r="T264" s="90" t="str">
        <f>HYPERLINK("http://www.youtube.com/channel/UCN6xzOpLWCttxWTEEuWHyDw")</f>
        <v>http://www.youtube.com/channel/UCN6xzOpLWCttxWTEEuWHyDw</v>
      </c>
      <c r="U264" s="84"/>
      <c r="V264" s="84" t="s">
        <v>1487</v>
      </c>
      <c r="W264" s="90" t="str">
        <f>HYPERLINK("https://www.youtube.com/watch?v=lBULLJFAT50")</f>
        <v>https://www.youtube.com/watch?v=lBULLJFAT50</v>
      </c>
      <c r="X264" s="84" t="s">
        <v>1537</v>
      </c>
      <c r="Y264" s="84">
        <v>0</v>
      </c>
      <c r="Z264" s="93">
        <v>44837.32914351852</v>
      </c>
      <c r="AA264" s="93">
        <v>44837.32914351852</v>
      </c>
      <c r="AB264" s="84"/>
      <c r="AC264" s="84"/>
      <c r="AD264" s="88" t="s">
        <v>1874</v>
      </c>
      <c r="AE264" s="86">
        <v>2</v>
      </c>
      <c r="AF264" s="87" t="str">
        <f>REPLACE(INDEX(GroupVertices[Group],MATCH(Edges[[#This Row],[Vertex 1]],GroupVertices[Vertex],0)),1,1,"")</f>
        <v>2</v>
      </c>
      <c r="AG264" s="87" t="str">
        <f>REPLACE(INDEX(GroupVertices[Group],MATCH(Edges[[#This Row],[Vertex 2]],GroupVertices[Vertex],0)),1,1,"")</f>
        <v>2</v>
      </c>
      <c r="AH264" s="105"/>
      <c r="AI264" s="105"/>
      <c r="AJ264" s="105"/>
      <c r="AK264" s="105"/>
      <c r="AL264" s="105"/>
      <c r="AM264" s="105"/>
      <c r="AN264" s="105"/>
      <c r="AO264" s="105"/>
      <c r="AP264" s="105"/>
    </row>
    <row r="265" spans="1:42" ht="15">
      <c r="A265" s="61" t="s">
        <v>470</v>
      </c>
      <c r="B265" s="61" t="s">
        <v>650</v>
      </c>
      <c r="C265" s="62" t="s">
        <v>2892</v>
      </c>
      <c r="D265" s="63">
        <v>5.833333333333333</v>
      </c>
      <c r="E265" s="62"/>
      <c r="F265" s="65">
        <v>15</v>
      </c>
      <c r="G265" s="62"/>
      <c r="H265" s="66"/>
      <c r="I265" s="67"/>
      <c r="J265" s="67"/>
      <c r="K265" s="31" t="s">
        <v>65</v>
      </c>
      <c r="L265" s="68">
        <v>265</v>
      </c>
      <c r="M265" s="68"/>
      <c r="N265" s="69"/>
      <c r="O265" s="84" t="s">
        <v>653</v>
      </c>
      <c r="P265" s="84" t="s">
        <v>215</v>
      </c>
      <c r="Q265" s="88" t="s">
        <v>916</v>
      </c>
      <c r="R265" s="84" t="s">
        <v>470</v>
      </c>
      <c r="S265" s="84" t="s">
        <v>1308</v>
      </c>
      <c r="T265" s="90" t="str">
        <f>HYPERLINK("http://www.youtube.com/channel/UCN6xzOpLWCttxWTEEuWHyDw")</f>
        <v>http://www.youtube.com/channel/UCN6xzOpLWCttxWTEEuWHyDw</v>
      </c>
      <c r="U265" s="84"/>
      <c r="V265" s="84" t="s">
        <v>1487</v>
      </c>
      <c r="W265" s="90" t="str">
        <f>HYPERLINK("https://www.youtube.com/watch?v=lBULLJFAT50")</f>
        <v>https://www.youtube.com/watch?v=lBULLJFAT50</v>
      </c>
      <c r="X265" s="84" t="s">
        <v>1537</v>
      </c>
      <c r="Y265" s="84">
        <v>0</v>
      </c>
      <c r="Z265" s="93">
        <v>44837.32939814815</v>
      </c>
      <c r="AA265" s="93">
        <v>44837.32939814815</v>
      </c>
      <c r="AB265" s="84"/>
      <c r="AC265" s="84"/>
      <c r="AD265" s="88" t="s">
        <v>1874</v>
      </c>
      <c r="AE265" s="86">
        <v>2</v>
      </c>
      <c r="AF265" s="87" t="str">
        <f>REPLACE(INDEX(GroupVertices[Group],MATCH(Edges[[#This Row],[Vertex 1]],GroupVertices[Vertex],0)),1,1,"")</f>
        <v>2</v>
      </c>
      <c r="AG265" s="87" t="str">
        <f>REPLACE(INDEX(GroupVertices[Group],MATCH(Edges[[#This Row],[Vertex 2]],GroupVertices[Vertex],0)),1,1,"")</f>
        <v>2</v>
      </c>
      <c r="AH265" s="105"/>
      <c r="AI265" s="105"/>
      <c r="AJ265" s="105"/>
      <c r="AK265" s="105"/>
      <c r="AL265" s="105"/>
      <c r="AM265" s="105"/>
      <c r="AN265" s="105"/>
      <c r="AO265" s="105"/>
      <c r="AP265" s="105"/>
    </row>
    <row r="266" spans="1:42" ht="15">
      <c r="A266" s="61" t="s">
        <v>471</v>
      </c>
      <c r="B266" s="61" t="s">
        <v>650</v>
      </c>
      <c r="C266" s="62" t="s">
        <v>2891</v>
      </c>
      <c r="D266" s="63">
        <v>5</v>
      </c>
      <c r="E266" s="62"/>
      <c r="F266" s="65">
        <v>25</v>
      </c>
      <c r="G266" s="62"/>
      <c r="H266" s="66"/>
      <c r="I266" s="67"/>
      <c r="J266" s="67"/>
      <c r="K266" s="31" t="s">
        <v>65</v>
      </c>
      <c r="L266" s="68">
        <v>266</v>
      </c>
      <c r="M266" s="68"/>
      <c r="N266" s="69"/>
      <c r="O266" s="84" t="s">
        <v>653</v>
      </c>
      <c r="P266" s="84" t="s">
        <v>215</v>
      </c>
      <c r="Q266" s="88" t="s">
        <v>917</v>
      </c>
      <c r="R266" s="84" t="s">
        <v>471</v>
      </c>
      <c r="S266" s="84" t="s">
        <v>1309</v>
      </c>
      <c r="T266" s="90" t="str">
        <f>HYPERLINK("http://www.youtube.com/channel/UCoR24RyrEbO94y03yTRJfNA")</f>
        <v>http://www.youtube.com/channel/UCoR24RyrEbO94y03yTRJfNA</v>
      </c>
      <c r="U266" s="84"/>
      <c r="V266" s="84" t="s">
        <v>1487</v>
      </c>
      <c r="W266" s="90" t="str">
        <f>HYPERLINK("https://www.youtube.com/watch?v=lBULLJFAT50")</f>
        <v>https://www.youtube.com/watch?v=lBULLJFAT50</v>
      </c>
      <c r="X266" s="84" t="s">
        <v>1537</v>
      </c>
      <c r="Y266" s="84">
        <v>1</v>
      </c>
      <c r="Z266" s="93">
        <v>44898.91318287037</v>
      </c>
      <c r="AA266" s="93">
        <v>44898.91318287037</v>
      </c>
      <c r="AB266" s="84"/>
      <c r="AC266" s="84"/>
      <c r="AD266" s="88" t="s">
        <v>1874</v>
      </c>
      <c r="AE266" s="86">
        <v>1</v>
      </c>
      <c r="AF266" s="87" t="str">
        <f>REPLACE(INDEX(GroupVertices[Group],MATCH(Edges[[#This Row],[Vertex 1]],GroupVertices[Vertex],0)),1,1,"")</f>
        <v>2</v>
      </c>
      <c r="AG266" s="87" t="str">
        <f>REPLACE(INDEX(GroupVertices[Group],MATCH(Edges[[#This Row],[Vertex 2]],GroupVertices[Vertex],0)),1,1,"")</f>
        <v>2</v>
      </c>
      <c r="AH266" s="105"/>
      <c r="AI266" s="105"/>
      <c r="AJ266" s="105"/>
      <c r="AK266" s="105"/>
      <c r="AL266" s="105"/>
      <c r="AM266" s="105"/>
      <c r="AN266" s="105"/>
      <c r="AO266" s="105"/>
      <c r="AP266" s="105"/>
    </row>
    <row r="267" spans="1:42" ht="15">
      <c r="A267" s="61" t="s">
        <v>472</v>
      </c>
      <c r="B267" s="61" t="s">
        <v>650</v>
      </c>
      <c r="C267" s="62" t="s">
        <v>2891</v>
      </c>
      <c r="D267" s="63">
        <v>5</v>
      </c>
      <c r="E267" s="62"/>
      <c r="F267" s="65">
        <v>25</v>
      </c>
      <c r="G267" s="62"/>
      <c r="H267" s="66"/>
      <c r="I267" s="67"/>
      <c r="J267" s="67"/>
      <c r="K267" s="31" t="s">
        <v>65</v>
      </c>
      <c r="L267" s="68">
        <v>267</v>
      </c>
      <c r="M267" s="68"/>
      <c r="N267" s="69"/>
      <c r="O267" s="84" t="s">
        <v>653</v>
      </c>
      <c r="P267" s="84" t="s">
        <v>215</v>
      </c>
      <c r="Q267" s="88" t="s">
        <v>918</v>
      </c>
      <c r="R267" s="84" t="s">
        <v>472</v>
      </c>
      <c r="S267" s="84" t="s">
        <v>1310</v>
      </c>
      <c r="T267" s="90" t="str">
        <f>HYPERLINK("http://www.youtube.com/channel/UCmbmPOFC5-EBakU7C_E7HhA")</f>
        <v>http://www.youtube.com/channel/UCmbmPOFC5-EBakU7C_E7HhA</v>
      </c>
      <c r="U267" s="84"/>
      <c r="V267" s="84" t="s">
        <v>1487</v>
      </c>
      <c r="W267" s="90" t="str">
        <f>HYPERLINK("https://www.youtube.com/watch?v=lBULLJFAT50")</f>
        <v>https://www.youtube.com/watch?v=lBULLJFAT50</v>
      </c>
      <c r="X267" s="84" t="s">
        <v>1537</v>
      </c>
      <c r="Y267" s="84">
        <v>1</v>
      </c>
      <c r="Z267" s="84" t="s">
        <v>1699</v>
      </c>
      <c r="AA267" s="84" t="s">
        <v>1699</v>
      </c>
      <c r="AB267" s="84"/>
      <c r="AC267" s="84"/>
      <c r="AD267" s="88" t="s">
        <v>1874</v>
      </c>
      <c r="AE267" s="86">
        <v>1</v>
      </c>
      <c r="AF267" s="87" t="str">
        <f>REPLACE(INDEX(GroupVertices[Group],MATCH(Edges[[#This Row],[Vertex 1]],GroupVertices[Vertex],0)),1,1,"")</f>
        <v>2</v>
      </c>
      <c r="AG267" s="87" t="str">
        <f>REPLACE(INDEX(GroupVertices[Group],MATCH(Edges[[#This Row],[Vertex 2]],GroupVertices[Vertex],0)),1,1,"")</f>
        <v>2</v>
      </c>
      <c r="AH267" s="105"/>
      <c r="AI267" s="105"/>
      <c r="AJ267" s="105"/>
      <c r="AK267" s="105"/>
      <c r="AL267" s="105"/>
      <c r="AM267" s="105"/>
      <c r="AN267" s="105"/>
      <c r="AO267" s="105"/>
      <c r="AP267" s="105"/>
    </row>
    <row r="268" spans="1:42" ht="15">
      <c r="A268" s="61" t="s">
        <v>473</v>
      </c>
      <c r="B268" s="61" t="s">
        <v>650</v>
      </c>
      <c r="C268" s="62" t="s">
        <v>2891</v>
      </c>
      <c r="D268" s="63">
        <v>5</v>
      </c>
      <c r="E268" s="62"/>
      <c r="F268" s="65">
        <v>25</v>
      </c>
      <c r="G268" s="62"/>
      <c r="H268" s="66"/>
      <c r="I268" s="67"/>
      <c r="J268" s="67"/>
      <c r="K268" s="31" t="s">
        <v>65</v>
      </c>
      <c r="L268" s="68">
        <v>268</v>
      </c>
      <c r="M268" s="68"/>
      <c r="N268" s="69"/>
      <c r="O268" s="84" t="s">
        <v>653</v>
      </c>
      <c r="P268" s="84" t="s">
        <v>215</v>
      </c>
      <c r="Q268" s="88" t="s">
        <v>919</v>
      </c>
      <c r="R268" s="84" t="s">
        <v>473</v>
      </c>
      <c r="S268" s="84" t="s">
        <v>1311</v>
      </c>
      <c r="T268" s="90" t="str">
        <f>HYPERLINK("http://www.youtube.com/channel/UC_zb2ciDFYz_bcIQNt3rOVA")</f>
        <v>http://www.youtube.com/channel/UC_zb2ciDFYz_bcIQNt3rOVA</v>
      </c>
      <c r="U268" s="84"/>
      <c r="V268" s="84" t="s">
        <v>1487</v>
      </c>
      <c r="W268" s="90" t="str">
        <f>HYPERLINK("https://www.youtube.com/watch?v=lBULLJFAT50")</f>
        <v>https://www.youtube.com/watch?v=lBULLJFAT50</v>
      </c>
      <c r="X268" s="84" t="s">
        <v>1537</v>
      </c>
      <c r="Y268" s="84">
        <v>7</v>
      </c>
      <c r="Z268" s="93">
        <v>44624.57645833334</v>
      </c>
      <c r="AA268" s="93">
        <v>44624.57645833334</v>
      </c>
      <c r="AB268" s="84"/>
      <c r="AC268" s="84"/>
      <c r="AD268" s="88" t="s">
        <v>1874</v>
      </c>
      <c r="AE268" s="86">
        <v>1</v>
      </c>
      <c r="AF268" s="87" t="str">
        <f>REPLACE(INDEX(GroupVertices[Group],MATCH(Edges[[#This Row],[Vertex 1]],GroupVertices[Vertex],0)),1,1,"")</f>
        <v>2</v>
      </c>
      <c r="AG268" s="87" t="str">
        <f>REPLACE(INDEX(GroupVertices[Group],MATCH(Edges[[#This Row],[Vertex 2]],GroupVertices[Vertex],0)),1,1,"")</f>
        <v>2</v>
      </c>
      <c r="AH268" s="105"/>
      <c r="AI268" s="105"/>
      <c r="AJ268" s="105"/>
      <c r="AK268" s="105"/>
      <c r="AL268" s="105"/>
      <c r="AM268" s="105"/>
      <c r="AN268" s="105"/>
      <c r="AO268" s="105"/>
      <c r="AP268" s="105"/>
    </row>
    <row r="269" spans="1:42" ht="15">
      <c r="A269" s="61" t="s">
        <v>474</v>
      </c>
      <c r="B269" s="61" t="s">
        <v>650</v>
      </c>
      <c r="C269" s="62" t="s">
        <v>2891</v>
      </c>
      <c r="D269" s="63">
        <v>5</v>
      </c>
      <c r="E269" s="62"/>
      <c r="F269" s="65">
        <v>25</v>
      </c>
      <c r="G269" s="62"/>
      <c r="H269" s="66"/>
      <c r="I269" s="67"/>
      <c r="J269" s="67"/>
      <c r="K269" s="31" t="s">
        <v>65</v>
      </c>
      <c r="L269" s="68">
        <v>269</v>
      </c>
      <c r="M269" s="68"/>
      <c r="N269" s="69"/>
      <c r="O269" s="84" t="s">
        <v>653</v>
      </c>
      <c r="P269" s="84" t="s">
        <v>215</v>
      </c>
      <c r="Q269" s="88" t="s">
        <v>920</v>
      </c>
      <c r="R269" s="84" t="s">
        <v>474</v>
      </c>
      <c r="S269" s="84" t="s">
        <v>1312</v>
      </c>
      <c r="T269" s="90" t="str">
        <f>HYPERLINK("http://www.youtube.com/channel/UCY6tFUVvwvDT3C2FJnTh6tQ")</f>
        <v>http://www.youtube.com/channel/UCY6tFUVvwvDT3C2FJnTh6tQ</v>
      </c>
      <c r="U269" s="84"/>
      <c r="V269" s="84" t="s">
        <v>1487</v>
      </c>
      <c r="W269" s="90" t="str">
        <f>HYPERLINK("https://www.youtube.com/watch?v=lBULLJFAT50")</f>
        <v>https://www.youtube.com/watch?v=lBULLJFAT50</v>
      </c>
      <c r="X269" s="84" t="s">
        <v>1537</v>
      </c>
      <c r="Y269" s="84">
        <v>1</v>
      </c>
      <c r="Z269" s="93">
        <v>44746.9965625</v>
      </c>
      <c r="AA269" s="93">
        <v>44746.9965625</v>
      </c>
      <c r="AB269" s="84"/>
      <c r="AC269" s="84"/>
      <c r="AD269" s="88" t="s">
        <v>1874</v>
      </c>
      <c r="AE269" s="86">
        <v>1</v>
      </c>
      <c r="AF269" s="87" t="str">
        <f>REPLACE(INDEX(GroupVertices[Group],MATCH(Edges[[#This Row],[Vertex 1]],GroupVertices[Vertex],0)),1,1,"")</f>
        <v>2</v>
      </c>
      <c r="AG269" s="87" t="str">
        <f>REPLACE(INDEX(GroupVertices[Group],MATCH(Edges[[#This Row],[Vertex 2]],GroupVertices[Vertex],0)),1,1,"")</f>
        <v>2</v>
      </c>
      <c r="AH269" s="105"/>
      <c r="AI269" s="105"/>
      <c r="AJ269" s="105"/>
      <c r="AK269" s="105"/>
      <c r="AL269" s="105"/>
      <c r="AM269" s="105"/>
      <c r="AN269" s="105"/>
      <c r="AO269" s="105"/>
      <c r="AP269" s="105"/>
    </row>
    <row r="270" spans="1:42" ht="15">
      <c r="A270" s="61" t="s">
        <v>475</v>
      </c>
      <c r="B270" s="61" t="s">
        <v>650</v>
      </c>
      <c r="C270" s="62" t="s">
        <v>2891</v>
      </c>
      <c r="D270" s="63">
        <v>5</v>
      </c>
      <c r="E270" s="62"/>
      <c r="F270" s="65">
        <v>25</v>
      </c>
      <c r="G270" s="62"/>
      <c r="H270" s="66"/>
      <c r="I270" s="67"/>
      <c r="J270" s="67"/>
      <c r="K270" s="31" t="s">
        <v>65</v>
      </c>
      <c r="L270" s="68">
        <v>270</v>
      </c>
      <c r="M270" s="68"/>
      <c r="N270" s="69"/>
      <c r="O270" s="84" t="s">
        <v>653</v>
      </c>
      <c r="P270" s="84" t="s">
        <v>215</v>
      </c>
      <c r="Q270" s="88" t="s">
        <v>921</v>
      </c>
      <c r="R270" s="84" t="s">
        <v>475</v>
      </c>
      <c r="S270" s="84" t="s">
        <v>1313</v>
      </c>
      <c r="T270" s="90" t="str">
        <f>HYPERLINK("http://www.youtube.com/channel/UC0JxykVO7JUp4VDL8fzmL3A")</f>
        <v>http://www.youtube.com/channel/UC0JxykVO7JUp4VDL8fzmL3A</v>
      </c>
      <c r="U270" s="84"/>
      <c r="V270" s="84" t="s">
        <v>1487</v>
      </c>
      <c r="W270" s="90" t="str">
        <f>HYPERLINK("https://www.youtube.com/watch?v=lBULLJFAT50")</f>
        <v>https://www.youtube.com/watch?v=lBULLJFAT50</v>
      </c>
      <c r="X270" s="84" t="s">
        <v>1537</v>
      </c>
      <c r="Y270" s="84">
        <v>2</v>
      </c>
      <c r="Z270" s="84" t="s">
        <v>1700</v>
      </c>
      <c r="AA270" s="84" t="s">
        <v>1700</v>
      </c>
      <c r="AB270" s="84"/>
      <c r="AC270" s="84"/>
      <c r="AD270" s="88" t="s">
        <v>1874</v>
      </c>
      <c r="AE270" s="86">
        <v>1</v>
      </c>
      <c r="AF270" s="87" t="str">
        <f>REPLACE(INDEX(GroupVertices[Group],MATCH(Edges[[#This Row],[Vertex 1]],GroupVertices[Vertex],0)),1,1,"")</f>
        <v>2</v>
      </c>
      <c r="AG270" s="87" t="str">
        <f>REPLACE(INDEX(GroupVertices[Group],MATCH(Edges[[#This Row],[Vertex 2]],GroupVertices[Vertex],0)),1,1,"")</f>
        <v>2</v>
      </c>
      <c r="AH270" s="105"/>
      <c r="AI270" s="105"/>
      <c r="AJ270" s="105"/>
      <c r="AK270" s="105"/>
      <c r="AL270" s="105"/>
      <c r="AM270" s="105"/>
      <c r="AN270" s="105"/>
      <c r="AO270" s="105"/>
      <c r="AP270" s="105"/>
    </row>
    <row r="271" spans="1:42" ht="15">
      <c r="A271" s="61" t="s">
        <v>476</v>
      </c>
      <c r="B271" s="61" t="s">
        <v>650</v>
      </c>
      <c r="C271" s="62" t="s">
        <v>2891</v>
      </c>
      <c r="D271" s="63">
        <v>5</v>
      </c>
      <c r="E271" s="62"/>
      <c r="F271" s="65">
        <v>25</v>
      </c>
      <c r="G271" s="62"/>
      <c r="H271" s="66"/>
      <c r="I271" s="67"/>
      <c r="J271" s="67"/>
      <c r="K271" s="31" t="s">
        <v>65</v>
      </c>
      <c r="L271" s="68">
        <v>271</v>
      </c>
      <c r="M271" s="68"/>
      <c r="N271" s="69"/>
      <c r="O271" s="84" t="s">
        <v>653</v>
      </c>
      <c r="P271" s="84" t="s">
        <v>215</v>
      </c>
      <c r="Q271" s="88" t="s">
        <v>922</v>
      </c>
      <c r="R271" s="84" t="s">
        <v>476</v>
      </c>
      <c r="S271" s="84" t="s">
        <v>1314</v>
      </c>
      <c r="T271" s="90" t="str">
        <f>HYPERLINK("http://www.youtube.com/channel/UCpMTw6Uv2cSKVf5DYg5brMg")</f>
        <v>http://www.youtube.com/channel/UCpMTw6Uv2cSKVf5DYg5brMg</v>
      </c>
      <c r="U271" s="84"/>
      <c r="V271" s="84" t="s">
        <v>1487</v>
      </c>
      <c r="W271" s="90" t="str">
        <f>HYPERLINK("https://www.youtube.com/watch?v=lBULLJFAT50")</f>
        <v>https://www.youtube.com/watch?v=lBULLJFAT50</v>
      </c>
      <c r="X271" s="84" t="s">
        <v>1537</v>
      </c>
      <c r="Y271" s="84">
        <v>0</v>
      </c>
      <c r="Z271" s="84" t="s">
        <v>1701</v>
      </c>
      <c r="AA271" s="84" t="s">
        <v>1701</v>
      </c>
      <c r="AB271" s="84"/>
      <c r="AC271" s="84"/>
      <c r="AD271" s="88" t="s">
        <v>1874</v>
      </c>
      <c r="AE271" s="86">
        <v>1</v>
      </c>
      <c r="AF271" s="87" t="str">
        <f>REPLACE(INDEX(GroupVertices[Group],MATCH(Edges[[#This Row],[Vertex 1]],GroupVertices[Vertex],0)),1,1,"")</f>
        <v>2</v>
      </c>
      <c r="AG271" s="87" t="str">
        <f>REPLACE(INDEX(GroupVertices[Group],MATCH(Edges[[#This Row],[Vertex 2]],GroupVertices[Vertex],0)),1,1,"")</f>
        <v>2</v>
      </c>
      <c r="AH271" s="105"/>
      <c r="AI271" s="105"/>
      <c r="AJ271" s="105"/>
      <c r="AK271" s="105"/>
      <c r="AL271" s="105"/>
      <c r="AM271" s="105"/>
      <c r="AN271" s="105"/>
      <c r="AO271" s="105"/>
      <c r="AP271" s="105"/>
    </row>
    <row r="272" spans="1:42" ht="15">
      <c r="A272" s="61" t="s">
        <v>477</v>
      </c>
      <c r="B272" s="61" t="s">
        <v>650</v>
      </c>
      <c r="C272" s="62" t="s">
        <v>2891</v>
      </c>
      <c r="D272" s="63">
        <v>5</v>
      </c>
      <c r="E272" s="62"/>
      <c r="F272" s="65">
        <v>25</v>
      </c>
      <c r="G272" s="62"/>
      <c r="H272" s="66"/>
      <c r="I272" s="67"/>
      <c r="J272" s="67"/>
      <c r="K272" s="31" t="s">
        <v>65</v>
      </c>
      <c r="L272" s="68">
        <v>272</v>
      </c>
      <c r="M272" s="68"/>
      <c r="N272" s="69"/>
      <c r="O272" s="84" t="s">
        <v>653</v>
      </c>
      <c r="P272" s="84" t="s">
        <v>215</v>
      </c>
      <c r="Q272" s="88" t="s">
        <v>923</v>
      </c>
      <c r="R272" s="84" t="s">
        <v>477</v>
      </c>
      <c r="S272" s="84" t="s">
        <v>1315</v>
      </c>
      <c r="T272" s="90" t="str">
        <f>HYPERLINK("http://www.youtube.com/channel/UCYN3TXrNLda066KXArVRDGw")</f>
        <v>http://www.youtube.com/channel/UCYN3TXrNLda066KXArVRDGw</v>
      </c>
      <c r="U272" s="84"/>
      <c r="V272" s="84" t="s">
        <v>1487</v>
      </c>
      <c r="W272" s="90" t="str">
        <f>HYPERLINK("https://www.youtube.com/watch?v=lBULLJFAT50")</f>
        <v>https://www.youtube.com/watch?v=lBULLJFAT50</v>
      </c>
      <c r="X272" s="84" t="s">
        <v>1537</v>
      </c>
      <c r="Y272" s="84">
        <v>5</v>
      </c>
      <c r="Z272" s="84" t="s">
        <v>1702</v>
      </c>
      <c r="AA272" s="84" t="s">
        <v>1702</v>
      </c>
      <c r="AB272" s="84"/>
      <c r="AC272" s="84"/>
      <c r="AD272" s="88" t="s">
        <v>1874</v>
      </c>
      <c r="AE272" s="86">
        <v>1</v>
      </c>
      <c r="AF272" s="87" t="str">
        <f>REPLACE(INDEX(GroupVertices[Group],MATCH(Edges[[#This Row],[Vertex 1]],GroupVertices[Vertex],0)),1,1,"")</f>
        <v>2</v>
      </c>
      <c r="AG272" s="87" t="str">
        <f>REPLACE(INDEX(GroupVertices[Group],MATCH(Edges[[#This Row],[Vertex 2]],GroupVertices[Vertex],0)),1,1,"")</f>
        <v>2</v>
      </c>
      <c r="AH272" s="105"/>
      <c r="AI272" s="105"/>
      <c r="AJ272" s="105"/>
      <c r="AK272" s="105"/>
      <c r="AL272" s="105"/>
      <c r="AM272" s="105"/>
      <c r="AN272" s="105"/>
      <c r="AO272" s="105"/>
      <c r="AP272" s="105"/>
    </row>
    <row r="273" spans="1:42" ht="15">
      <c r="A273" s="61" t="s">
        <v>478</v>
      </c>
      <c r="B273" s="61" t="s">
        <v>650</v>
      </c>
      <c r="C273" s="62" t="s">
        <v>2891</v>
      </c>
      <c r="D273" s="63">
        <v>5</v>
      </c>
      <c r="E273" s="62"/>
      <c r="F273" s="65">
        <v>25</v>
      </c>
      <c r="G273" s="62"/>
      <c r="H273" s="66"/>
      <c r="I273" s="67"/>
      <c r="J273" s="67"/>
      <c r="K273" s="31" t="s">
        <v>65</v>
      </c>
      <c r="L273" s="68">
        <v>273</v>
      </c>
      <c r="M273" s="68"/>
      <c r="N273" s="69"/>
      <c r="O273" s="84" t="s">
        <v>653</v>
      </c>
      <c r="P273" s="84" t="s">
        <v>215</v>
      </c>
      <c r="Q273" s="88" t="s">
        <v>924</v>
      </c>
      <c r="R273" s="84" t="s">
        <v>478</v>
      </c>
      <c r="S273" s="84" t="s">
        <v>1316</v>
      </c>
      <c r="T273" s="90" t="str">
        <f>HYPERLINK("http://www.youtube.com/channel/UCKZfiiEgb52j7bJC78LMRJQ")</f>
        <v>http://www.youtube.com/channel/UCKZfiiEgb52j7bJC78LMRJQ</v>
      </c>
      <c r="U273" s="84"/>
      <c r="V273" s="84" t="s">
        <v>1487</v>
      </c>
      <c r="W273" s="90" t="str">
        <f>HYPERLINK("https://www.youtube.com/watch?v=lBULLJFAT50")</f>
        <v>https://www.youtube.com/watch?v=lBULLJFAT50</v>
      </c>
      <c r="X273" s="84" t="s">
        <v>1537</v>
      </c>
      <c r="Y273" s="84">
        <v>0</v>
      </c>
      <c r="Z273" s="93">
        <v>44717.51988425926</v>
      </c>
      <c r="AA273" s="93">
        <v>44717.51988425926</v>
      </c>
      <c r="AB273" s="84"/>
      <c r="AC273" s="84"/>
      <c r="AD273" s="88" t="s">
        <v>1874</v>
      </c>
      <c r="AE273" s="86">
        <v>1</v>
      </c>
      <c r="AF273" s="87" t="str">
        <f>REPLACE(INDEX(GroupVertices[Group],MATCH(Edges[[#This Row],[Vertex 1]],GroupVertices[Vertex],0)),1,1,"")</f>
        <v>2</v>
      </c>
      <c r="AG273" s="87" t="str">
        <f>REPLACE(INDEX(GroupVertices[Group],MATCH(Edges[[#This Row],[Vertex 2]],GroupVertices[Vertex],0)),1,1,"")</f>
        <v>2</v>
      </c>
      <c r="AH273" s="105"/>
      <c r="AI273" s="105"/>
      <c r="AJ273" s="105"/>
      <c r="AK273" s="105"/>
      <c r="AL273" s="105"/>
      <c r="AM273" s="105"/>
      <c r="AN273" s="105"/>
      <c r="AO273" s="105"/>
      <c r="AP273" s="105"/>
    </row>
    <row r="274" spans="1:42" ht="15">
      <c r="A274" s="61" t="s">
        <v>479</v>
      </c>
      <c r="B274" s="61" t="s">
        <v>650</v>
      </c>
      <c r="C274" s="62" t="s">
        <v>2891</v>
      </c>
      <c r="D274" s="63">
        <v>5</v>
      </c>
      <c r="E274" s="62"/>
      <c r="F274" s="65">
        <v>25</v>
      </c>
      <c r="G274" s="62"/>
      <c r="H274" s="66"/>
      <c r="I274" s="67"/>
      <c r="J274" s="67"/>
      <c r="K274" s="31" t="s">
        <v>65</v>
      </c>
      <c r="L274" s="68">
        <v>274</v>
      </c>
      <c r="M274" s="68"/>
      <c r="N274" s="69"/>
      <c r="O274" s="84" t="s">
        <v>653</v>
      </c>
      <c r="P274" s="84" t="s">
        <v>215</v>
      </c>
      <c r="Q274" s="88" t="s">
        <v>925</v>
      </c>
      <c r="R274" s="84" t="s">
        <v>479</v>
      </c>
      <c r="S274" s="84" t="s">
        <v>1317</v>
      </c>
      <c r="T274" s="90" t="str">
        <f>HYPERLINK("http://www.youtube.com/channel/UC4VVqyAPChhP8a3GnmE61AQ")</f>
        <v>http://www.youtube.com/channel/UC4VVqyAPChhP8a3GnmE61AQ</v>
      </c>
      <c r="U274" s="84"/>
      <c r="V274" s="84" t="s">
        <v>1487</v>
      </c>
      <c r="W274" s="90" t="str">
        <f>HYPERLINK("https://www.youtube.com/watch?v=lBULLJFAT50")</f>
        <v>https://www.youtube.com/watch?v=lBULLJFAT50</v>
      </c>
      <c r="X274" s="84" t="s">
        <v>1537</v>
      </c>
      <c r="Y274" s="84">
        <v>0</v>
      </c>
      <c r="Z274" s="84" t="s">
        <v>1703</v>
      </c>
      <c r="AA274" s="84" t="s">
        <v>1703</v>
      </c>
      <c r="AB274" s="84"/>
      <c r="AC274" s="84"/>
      <c r="AD274" s="88" t="s">
        <v>1874</v>
      </c>
      <c r="AE274" s="86">
        <v>1</v>
      </c>
      <c r="AF274" s="87" t="str">
        <f>REPLACE(INDEX(GroupVertices[Group],MATCH(Edges[[#This Row],[Vertex 1]],GroupVertices[Vertex],0)),1,1,"")</f>
        <v>2</v>
      </c>
      <c r="AG274" s="87" t="str">
        <f>REPLACE(INDEX(GroupVertices[Group],MATCH(Edges[[#This Row],[Vertex 2]],GroupVertices[Vertex],0)),1,1,"")</f>
        <v>2</v>
      </c>
      <c r="AH274" s="105"/>
      <c r="AI274" s="105"/>
      <c r="AJ274" s="105"/>
      <c r="AK274" s="105"/>
      <c r="AL274" s="105"/>
      <c r="AM274" s="105"/>
      <c r="AN274" s="105"/>
      <c r="AO274" s="105"/>
      <c r="AP274" s="105"/>
    </row>
    <row r="275" spans="1:42" ht="15">
      <c r="A275" s="61" t="s">
        <v>480</v>
      </c>
      <c r="B275" s="61" t="s">
        <v>650</v>
      </c>
      <c r="C275" s="62" t="s">
        <v>2891</v>
      </c>
      <c r="D275" s="63">
        <v>5</v>
      </c>
      <c r="E275" s="62"/>
      <c r="F275" s="65">
        <v>25</v>
      </c>
      <c r="G275" s="62"/>
      <c r="H275" s="66"/>
      <c r="I275" s="67"/>
      <c r="J275" s="67"/>
      <c r="K275" s="31" t="s">
        <v>65</v>
      </c>
      <c r="L275" s="68">
        <v>275</v>
      </c>
      <c r="M275" s="68"/>
      <c r="N275" s="69"/>
      <c r="O275" s="84" t="s">
        <v>653</v>
      </c>
      <c r="P275" s="84" t="s">
        <v>215</v>
      </c>
      <c r="Q275" s="88" t="s">
        <v>926</v>
      </c>
      <c r="R275" s="84" t="s">
        <v>480</v>
      </c>
      <c r="S275" s="84" t="s">
        <v>1318</v>
      </c>
      <c r="T275" s="90" t="str">
        <f>HYPERLINK("http://www.youtube.com/channel/UC91g7ZXcm3MhwxuNVhiPgDg")</f>
        <v>http://www.youtube.com/channel/UC91g7ZXcm3MhwxuNVhiPgDg</v>
      </c>
      <c r="U275" s="84"/>
      <c r="V275" s="84" t="s">
        <v>1487</v>
      </c>
      <c r="W275" s="90" t="str">
        <f>HYPERLINK("https://www.youtube.com/watch?v=lBULLJFAT50")</f>
        <v>https://www.youtube.com/watch?v=lBULLJFAT50</v>
      </c>
      <c r="X275" s="84" t="s">
        <v>1537</v>
      </c>
      <c r="Y275" s="84">
        <v>3</v>
      </c>
      <c r="Z275" s="84" t="s">
        <v>1704</v>
      </c>
      <c r="AA275" s="84" t="s">
        <v>1704</v>
      </c>
      <c r="AB275" s="84"/>
      <c r="AC275" s="84"/>
      <c r="AD275" s="88" t="s">
        <v>1874</v>
      </c>
      <c r="AE275" s="86">
        <v>1</v>
      </c>
      <c r="AF275" s="87" t="str">
        <f>REPLACE(INDEX(GroupVertices[Group],MATCH(Edges[[#This Row],[Vertex 1]],GroupVertices[Vertex],0)),1,1,"")</f>
        <v>2</v>
      </c>
      <c r="AG275" s="87" t="str">
        <f>REPLACE(INDEX(GroupVertices[Group],MATCH(Edges[[#This Row],[Vertex 2]],GroupVertices[Vertex],0)),1,1,"")</f>
        <v>2</v>
      </c>
      <c r="AH275" s="105"/>
      <c r="AI275" s="105"/>
      <c r="AJ275" s="105"/>
      <c r="AK275" s="105"/>
      <c r="AL275" s="105"/>
      <c r="AM275" s="105"/>
      <c r="AN275" s="105"/>
      <c r="AO275" s="105"/>
      <c r="AP275" s="105"/>
    </row>
    <row r="276" spans="1:42" ht="15">
      <c r="A276" s="61" t="s">
        <v>481</v>
      </c>
      <c r="B276" s="61" t="s">
        <v>650</v>
      </c>
      <c r="C276" s="62" t="s">
        <v>2891</v>
      </c>
      <c r="D276" s="63">
        <v>5</v>
      </c>
      <c r="E276" s="62"/>
      <c r="F276" s="65">
        <v>25</v>
      </c>
      <c r="G276" s="62"/>
      <c r="H276" s="66"/>
      <c r="I276" s="67"/>
      <c r="J276" s="67"/>
      <c r="K276" s="31" t="s">
        <v>65</v>
      </c>
      <c r="L276" s="68">
        <v>276</v>
      </c>
      <c r="M276" s="68"/>
      <c r="N276" s="69"/>
      <c r="O276" s="84" t="s">
        <v>653</v>
      </c>
      <c r="P276" s="84" t="s">
        <v>215</v>
      </c>
      <c r="Q276" s="88" t="s">
        <v>927</v>
      </c>
      <c r="R276" s="84" t="s">
        <v>481</v>
      </c>
      <c r="S276" s="84" t="s">
        <v>1319</v>
      </c>
      <c r="T276" s="90" t="str">
        <f>HYPERLINK("http://www.youtube.com/channel/UCMOXOc7vSKdE63sq4XdqzLw")</f>
        <v>http://www.youtube.com/channel/UCMOXOc7vSKdE63sq4XdqzLw</v>
      </c>
      <c r="U276" s="84"/>
      <c r="V276" s="84" t="s">
        <v>1487</v>
      </c>
      <c r="W276" s="90" t="str">
        <f>HYPERLINK("https://www.youtube.com/watch?v=lBULLJFAT50")</f>
        <v>https://www.youtube.com/watch?v=lBULLJFAT50</v>
      </c>
      <c r="X276" s="84" t="s">
        <v>1537</v>
      </c>
      <c r="Y276" s="84">
        <v>5</v>
      </c>
      <c r="Z276" s="84" t="s">
        <v>1705</v>
      </c>
      <c r="AA276" s="84" t="s">
        <v>1705</v>
      </c>
      <c r="AB276" s="84"/>
      <c r="AC276" s="84"/>
      <c r="AD276" s="88" t="s">
        <v>1874</v>
      </c>
      <c r="AE276" s="86">
        <v>1</v>
      </c>
      <c r="AF276" s="87" t="str">
        <f>REPLACE(INDEX(GroupVertices[Group],MATCH(Edges[[#This Row],[Vertex 1]],GroupVertices[Vertex],0)),1,1,"")</f>
        <v>2</v>
      </c>
      <c r="AG276" s="87" t="str">
        <f>REPLACE(INDEX(GroupVertices[Group],MATCH(Edges[[#This Row],[Vertex 2]],GroupVertices[Vertex],0)),1,1,"")</f>
        <v>2</v>
      </c>
      <c r="AH276" s="105"/>
      <c r="AI276" s="105"/>
      <c r="AJ276" s="105"/>
      <c r="AK276" s="105"/>
      <c r="AL276" s="105"/>
      <c r="AM276" s="105"/>
      <c r="AN276" s="105"/>
      <c r="AO276" s="105"/>
      <c r="AP276" s="105"/>
    </row>
    <row r="277" spans="1:42" ht="15">
      <c r="A277" s="61" t="s">
        <v>482</v>
      </c>
      <c r="B277" s="61" t="s">
        <v>650</v>
      </c>
      <c r="C277" s="62" t="s">
        <v>2892</v>
      </c>
      <c r="D277" s="63">
        <v>5.833333333333333</v>
      </c>
      <c r="E277" s="62"/>
      <c r="F277" s="65">
        <v>15</v>
      </c>
      <c r="G277" s="62"/>
      <c r="H277" s="66"/>
      <c r="I277" s="67"/>
      <c r="J277" s="67"/>
      <c r="K277" s="31" t="s">
        <v>65</v>
      </c>
      <c r="L277" s="68">
        <v>277</v>
      </c>
      <c r="M277" s="68"/>
      <c r="N277" s="69"/>
      <c r="O277" s="84" t="s">
        <v>653</v>
      </c>
      <c r="P277" s="84" t="s">
        <v>215</v>
      </c>
      <c r="Q277" s="88" t="s">
        <v>928</v>
      </c>
      <c r="R277" s="84" t="s">
        <v>482</v>
      </c>
      <c r="S277" s="84" t="s">
        <v>1320</v>
      </c>
      <c r="T277" s="90" t="str">
        <f>HYPERLINK("http://www.youtube.com/channel/UCpb0LbGwD0TBVydIHsKuUTQ")</f>
        <v>http://www.youtube.com/channel/UCpb0LbGwD0TBVydIHsKuUTQ</v>
      </c>
      <c r="U277" s="84"/>
      <c r="V277" s="84" t="s">
        <v>1487</v>
      </c>
      <c r="W277" s="90" t="str">
        <f>HYPERLINK("https://www.youtube.com/watch?v=lBULLJFAT50")</f>
        <v>https://www.youtube.com/watch?v=lBULLJFAT50</v>
      </c>
      <c r="X277" s="84" t="s">
        <v>1537</v>
      </c>
      <c r="Y277" s="84">
        <v>3</v>
      </c>
      <c r="Z277" s="93">
        <v>44627.778125</v>
      </c>
      <c r="AA277" s="93">
        <v>44627.778125</v>
      </c>
      <c r="AB277" s="84"/>
      <c r="AC277" s="84"/>
      <c r="AD277" s="88" t="s">
        <v>1874</v>
      </c>
      <c r="AE277" s="86">
        <v>2</v>
      </c>
      <c r="AF277" s="87" t="str">
        <f>REPLACE(INDEX(GroupVertices[Group],MATCH(Edges[[#This Row],[Vertex 1]],GroupVertices[Vertex],0)),1,1,"")</f>
        <v>2</v>
      </c>
      <c r="AG277" s="87" t="str">
        <f>REPLACE(INDEX(GroupVertices[Group],MATCH(Edges[[#This Row],[Vertex 2]],GroupVertices[Vertex],0)),1,1,"")</f>
        <v>2</v>
      </c>
      <c r="AH277" s="105"/>
      <c r="AI277" s="105"/>
      <c r="AJ277" s="105"/>
      <c r="AK277" s="105"/>
      <c r="AL277" s="105"/>
      <c r="AM277" s="105"/>
      <c r="AN277" s="105"/>
      <c r="AO277" s="105"/>
      <c r="AP277" s="105"/>
    </row>
    <row r="278" spans="1:42" ht="15">
      <c r="A278" s="61" t="s">
        <v>482</v>
      </c>
      <c r="B278" s="61" t="s">
        <v>650</v>
      </c>
      <c r="C278" s="62" t="s">
        <v>2892</v>
      </c>
      <c r="D278" s="63">
        <v>5.833333333333333</v>
      </c>
      <c r="E278" s="62"/>
      <c r="F278" s="65">
        <v>15</v>
      </c>
      <c r="G278" s="62"/>
      <c r="H278" s="66"/>
      <c r="I278" s="67"/>
      <c r="J278" s="67"/>
      <c r="K278" s="31" t="s">
        <v>65</v>
      </c>
      <c r="L278" s="68">
        <v>278</v>
      </c>
      <c r="M278" s="68"/>
      <c r="N278" s="69"/>
      <c r="O278" s="84" t="s">
        <v>653</v>
      </c>
      <c r="P278" s="84" t="s">
        <v>215</v>
      </c>
      <c r="Q278" s="88" t="s">
        <v>929</v>
      </c>
      <c r="R278" s="84" t="s">
        <v>482</v>
      </c>
      <c r="S278" s="84" t="s">
        <v>1320</v>
      </c>
      <c r="T278" s="90" t="str">
        <f>HYPERLINK("http://www.youtube.com/channel/UCpb0LbGwD0TBVydIHsKuUTQ")</f>
        <v>http://www.youtube.com/channel/UCpb0LbGwD0TBVydIHsKuUTQ</v>
      </c>
      <c r="U278" s="84"/>
      <c r="V278" s="84" t="s">
        <v>1487</v>
      </c>
      <c r="W278" s="90" t="str">
        <f>HYPERLINK("https://www.youtube.com/watch?v=lBULLJFAT50")</f>
        <v>https://www.youtube.com/watch?v=lBULLJFAT50</v>
      </c>
      <c r="X278" s="84" t="s">
        <v>1537</v>
      </c>
      <c r="Y278" s="84">
        <v>2</v>
      </c>
      <c r="Z278" s="93">
        <v>44627.77991898148</v>
      </c>
      <c r="AA278" s="93">
        <v>44627.77991898148</v>
      </c>
      <c r="AB278" s="84"/>
      <c r="AC278" s="84"/>
      <c r="AD278" s="88" t="s">
        <v>1874</v>
      </c>
      <c r="AE278" s="86">
        <v>2</v>
      </c>
      <c r="AF278" s="87" t="str">
        <f>REPLACE(INDEX(GroupVertices[Group],MATCH(Edges[[#This Row],[Vertex 1]],GroupVertices[Vertex],0)),1,1,"")</f>
        <v>2</v>
      </c>
      <c r="AG278" s="87" t="str">
        <f>REPLACE(INDEX(GroupVertices[Group],MATCH(Edges[[#This Row],[Vertex 2]],GroupVertices[Vertex],0)),1,1,"")</f>
        <v>2</v>
      </c>
      <c r="AH278" s="105"/>
      <c r="AI278" s="105"/>
      <c r="AJ278" s="105"/>
      <c r="AK278" s="105"/>
      <c r="AL278" s="105"/>
      <c r="AM278" s="105"/>
      <c r="AN278" s="105"/>
      <c r="AO278" s="105"/>
      <c r="AP278" s="105"/>
    </row>
    <row r="279" spans="1:42" ht="15">
      <c r="A279" s="61" t="s">
        <v>483</v>
      </c>
      <c r="B279" s="61" t="s">
        <v>650</v>
      </c>
      <c r="C279" s="62" t="s">
        <v>2891</v>
      </c>
      <c r="D279" s="63">
        <v>5</v>
      </c>
      <c r="E279" s="62"/>
      <c r="F279" s="65">
        <v>25</v>
      </c>
      <c r="G279" s="62"/>
      <c r="H279" s="66"/>
      <c r="I279" s="67"/>
      <c r="J279" s="67"/>
      <c r="K279" s="31" t="s">
        <v>65</v>
      </c>
      <c r="L279" s="68">
        <v>279</v>
      </c>
      <c r="M279" s="68"/>
      <c r="N279" s="69"/>
      <c r="O279" s="84" t="s">
        <v>653</v>
      </c>
      <c r="P279" s="84" t="s">
        <v>215</v>
      </c>
      <c r="Q279" s="88" t="s">
        <v>930</v>
      </c>
      <c r="R279" s="84" t="s">
        <v>483</v>
      </c>
      <c r="S279" s="84" t="s">
        <v>1321</v>
      </c>
      <c r="T279" s="90" t="str">
        <f>HYPERLINK("http://www.youtube.com/channel/UCdLb49pJnDcAXASPyWulgAA")</f>
        <v>http://www.youtube.com/channel/UCdLb49pJnDcAXASPyWulgAA</v>
      </c>
      <c r="U279" s="84"/>
      <c r="V279" s="84" t="s">
        <v>1487</v>
      </c>
      <c r="W279" s="90" t="str">
        <f>HYPERLINK("https://www.youtube.com/watch?v=lBULLJFAT50")</f>
        <v>https://www.youtube.com/watch?v=lBULLJFAT50</v>
      </c>
      <c r="X279" s="84" t="s">
        <v>1537</v>
      </c>
      <c r="Y279" s="84">
        <v>4</v>
      </c>
      <c r="Z279" s="93">
        <v>44719.40797453704</v>
      </c>
      <c r="AA279" s="93">
        <v>44719.40797453704</v>
      </c>
      <c r="AB279" s="84"/>
      <c r="AC279" s="84"/>
      <c r="AD279" s="88" t="s">
        <v>1874</v>
      </c>
      <c r="AE279" s="86">
        <v>1</v>
      </c>
      <c r="AF279" s="87" t="str">
        <f>REPLACE(INDEX(GroupVertices[Group],MATCH(Edges[[#This Row],[Vertex 1]],GroupVertices[Vertex],0)),1,1,"")</f>
        <v>2</v>
      </c>
      <c r="AG279" s="87" t="str">
        <f>REPLACE(INDEX(GroupVertices[Group],MATCH(Edges[[#This Row],[Vertex 2]],GroupVertices[Vertex],0)),1,1,"")</f>
        <v>2</v>
      </c>
      <c r="AH279" s="105"/>
      <c r="AI279" s="105"/>
      <c r="AJ279" s="105"/>
      <c r="AK279" s="105"/>
      <c r="AL279" s="105"/>
      <c r="AM279" s="105"/>
      <c r="AN279" s="105"/>
      <c r="AO279" s="105"/>
      <c r="AP279" s="105"/>
    </row>
    <row r="280" spans="1:42" ht="15">
      <c r="A280" s="61" t="s">
        <v>484</v>
      </c>
      <c r="B280" s="61" t="s">
        <v>650</v>
      </c>
      <c r="C280" s="62" t="s">
        <v>2891</v>
      </c>
      <c r="D280" s="63">
        <v>5</v>
      </c>
      <c r="E280" s="62"/>
      <c r="F280" s="65">
        <v>25</v>
      </c>
      <c r="G280" s="62"/>
      <c r="H280" s="66"/>
      <c r="I280" s="67"/>
      <c r="J280" s="67"/>
      <c r="K280" s="31" t="s">
        <v>65</v>
      </c>
      <c r="L280" s="68">
        <v>280</v>
      </c>
      <c r="M280" s="68"/>
      <c r="N280" s="69"/>
      <c r="O280" s="84" t="s">
        <v>653</v>
      </c>
      <c r="P280" s="84" t="s">
        <v>215</v>
      </c>
      <c r="Q280" s="88" t="s">
        <v>931</v>
      </c>
      <c r="R280" s="84" t="s">
        <v>484</v>
      </c>
      <c r="S280" s="84" t="s">
        <v>1322</v>
      </c>
      <c r="T280" s="90" t="str">
        <f>HYPERLINK("http://www.youtube.com/channel/UC-ZSkvqDMpBjUiR2yeLYRng")</f>
        <v>http://www.youtube.com/channel/UC-ZSkvqDMpBjUiR2yeLYRng</v>
      </c>
      <c r="U280" s="84"/>
      <c r="V280" s="84" t="s">
        <v>1487</v>
      </c>
      <c r="W280" s="90" t="str">
        <f>HYPERLINK("https://www.youtube.com/watch?v=lBULLJFAT50")</f>
        <v>https://www.youtube.com/watch?v=lBULLJFAT50</v>
      </c>
      <c r="X280" s="84" t="s">
        <v>1537</v>
      </c>
      <c r="Y280" s="84">
        <v>0</v>
      </c>
      <c r="Z280" s="84" t="s">
        <v>1706</v>
      </c>
      <c r="AA280" s="84" t="s">
        <v>1849</v>
      </c>
      <c r="AB280" s="84"/>
      <c r="AC280" s="84"/>
      <c r="AD280" s="88" t="s">
        <v>1874</v>
      </c>
      <c r="AE280" s="86">
        <v>1</v>
      </c>
      <c r="AF280" s="87" t="str">
        <f>REPLACE(INDEX(GroupVertices[Group],MATCH(Edges[[#This Row],[Vertex 1]],GroupVertices[Vertex],0)),1,1,"")</f>
        <v>2</v>
      </c>
      <c r="AG280" s="87" t="str">
        <f>REPLACE(INDEX(GroupVertices[Group],MATCH(Edges[[#This Row],[Vertex 2]],GroupVertices[Vertex],0)),1,1,"")</f>
        <v>2</v>
      </c>
      <c r="AH280" s="105"/>
      <c r="AI280" s="105"/>
      <c r="AJ280" s="105"/>
      <c r="AK280" s="105"/>
      <c r="AL280" s="105"/>
      <c r="AM280" s="105"/>
      <c r="AN280" s="105"/>
      <c r="AO280" s="105"/>
      <c r="AP280" s="105"/>
    </row>
    <row r="281" spans="1:42" ht="15">
      <c r="A281" s="61" t="s">
        <v>485</v>
      </c>
      <c r="B281" s="61" t="s">
        <v>650</v>
      </c>
      <c r="C281" s="62" t="s">
        <v>2891</v>
      </c>
      <c r="D281" s="63">
        <v>5</v>
      </c>
      <c r="E281" s="62"/>
      <c r="F281" s="65">
        <v>25</v>
      </c>
      <c r="G281" s="62"/>
      <c r="H281" s="66"/>
      <c r="I281" s="67"/>
      <c r="J281" s="67"/>
      <c r="K281" s="31" t="s">
        <v>65</v>
      </c>
      <c r="L281" s="68">
        <v>281</v>
      </c>
      <c r="M281" s="68"/>
      <c r="N281" s="69"/>
      <c r="O281" s="84" t="s">
        <v>653</v>
      </c>
      <c r="P281" s="84" t="s">
        <v>215</v>
      </c>
      <c r="Q281" s="88" t="s">
        <v>932</v>
      </c>
      <c r="R281" s="84" t="s">
        <v>485</v>
      </c>
      <c r="S281" s="84" t="s">
        <v>1323</v>
      </c>
      <c r="T281" s="90" t="str">
        <f>HYPERLINK("http://www.youtube.com/channel/UCpGn4HyP0uFtP8y3WzP1QfA")</f>
        <v>http://www.youtube.com/channel/UCpGn4HyP0uFtP8y3WzP1QfA</v>
      </c>
      <c r="U281" s="84"/>
      <c r="V281" s="84" t="s">
        <v>1487</v>
      </c>
      <c r="W281" s="90" t="str">
        <f>HYPERLINK("https://www.youtube.com/watch?v=lBULLJFAT50")</f>
        <v>https://www.youtube.com/watch?v=lBULLJFAT50</v>
      </c>
      <c r="X281" s="84" t="s">
        <v>1537</v>
      </c>
      <c r="Y281" s="84">
        <v>3</v>
      </c>
      <c r="Z281" s="84" t="s">
        <v>1707</v>
      </c>
      <c r="AA281" s="84" t="s">
        <v>1707</v>
      </c>
      <c r="AB281" s="84"/>
      <c r="AC281" s="84"/>
      <c r="AD281" s="88" t="s">
        <v>1874</v>
      </c>
      <c r="AE281" s="86">
        <v>1</v>
      </c>
      <c r="AF281" s="87" t="str">
        <f>REPLACE(INDEX(GroupVertices[Group],MATCH(Edges[[#This Row],[Vertex 1]],GroupVertices[Vertex],0)),1,1,"")</f>
        <v>2</v>
      </c>
      <c r="AG281" s="87" t="str">
        <f>REPLACE(INDEX(GroupVertices[Group],MATCH(Edges[[#This Row],[Vertex 2]],GroupVertices[Vertex],0)),1,1,"")</f>
        <v>2</v>
      </c>
      <c r="AH281" s="105"/>
      <c r="AI281" s="105"/>
      <c r="AJ281" s="105"/>
      <c r="AK281" s="105"/>
      <c r="AL281" s="105"/>
      <c r="AM281" s="105"/>
      <c r="AN281" s="105"/>
      <c r="AO281" s="105"/>
      <c r="AP281" s="105"/>
    </row>
    <row r="282" spans="1:42" ht="15">
      <c r="A282" s="61" t="s">
        <v>486</v>
      </c>
      <c r="B282" s="61" t="s">
        <v>650</v>
      </c>
      <c r="C282" s="62" t="s">
        <v>2892</v>
      </c>
      <c r="D282" s="63">
        <v>5.833333333333333</v>
      </c>
      <c r="E282" s="62"/>
      <c r="F282" s="65">
        <v>15</v>
      </c>
      <c r="G282" s="62"/>
      <c r="H282" s="66"/>
      <c r="I282" s="67"/>
      <c r="J282" s="67"/>
      <c r="K282" s="31" t="s">
        <v>65</v>
      </c>
      <c r="L282" s="68">
        <v>282</v>
      </c>
      <c r="M282" s="68"/>
      <c r="N282" s="69"/>
      <c r="O282" s="84" t="s">
        <v>653</v>
      </c>
      <c r="P282" s="84" t="s">
        <v>215</v>
      </c>
      <c r="Q282" s="88" t="s">
        <v>933</v>
      </c>
      <c r="R282" s="84" t="s">
        <v>486</v>
      </c>
      <c r="S282" s="84" t="s">
        <v>1324</v>
      </c>
      <c r="T282" s="90" t="str">
        <f>HYPERLINK("http://www.youtube.com/channel/UCfiFT1zYwKhUL89CY013UkA")</f>
        <v>http://www.youtube.com/channel/UCfiFT1zYwKhUL89CY013UkA</v>
      </c>
      <c r="U282" s="84"/>
      <c r="V282" s="84" t="s">
        <v>1487</v>
      </c>
      <c r="W282" s="90" t="str">
        <f>HYPERLINK("https://www.youtube.com/watch?v=lBULLJFAT50")</f>
        <v>https://www.youtube.com/watch?v=lBULLJFAT50</v>
      </c>
      <c r="X282" s="84" t="s">
        <v>1537</v>
      </c>
      <c r="Y282" s="84">
        <v>0</v>
      </c>
      <c r="Z282" s="84" t="s">
        <v>1708</v>
      </c>
      <c r="AA282" s="84" t="s">
        <v>1708</v>
      </c>
      <c r="AB282" s="84"/>
      <c r="AC282" s="84"/>
      <c r="AD282" s="88" t="s">
        <v>1874</v>
      </c>
      <c r="AE282" s="86">
        <v>2</v>
      </c>
      <c r="AF282" s="87" t="str">
        <f>REPLACE(INDEX(GroupVertices[Group],MATCH(Edges[[#This Row],[Vertex 1]],GroupVertices[Vertex],0)),1,1,"")</f>
        <v>2</v>
      </c>
      <c r="AG282" s="87" t="str">
        <f>REPLACE(INDEX(GroupVertices[Group],MATCH(Edges[[#This Row],[Vertex 2]],GroupVertices[Vertex],0)),1,1,"")</f>
        <v>2</v>
      </c>
      <c r="AH282" s="105"/>
      <c r="AI282" s="105"/>
      <c r="AJ282" s="105"/>
      <c r="AK282" s="105"/>
      <c r="AL282" s="105"/>
      <c r="AM282" s="105"/>
      <c r="AN282" s="105"/>
      <c r="AO282" s="105"/>
      <c r="AP282" s="105"/>
    </row>
    <row r="283" spans="1:42" ht="15">
      <c r="A283" s="61" t="s">
        <v>486</v>
      </c>
      <c r="B283" s="61" t="s">
        <v>650</v>
      </c>
      <c r="C283" s="62" t="s">
        <v>2892</v>
      </c>
      <c r="D283" s="63">
        <v>5.833333333333333</v>
      </c>
      <c r="E283" s="62"/>
      <c r="F283" s="65">
        <v>15</v>
      </c>
      <c r="G283" s="62"/>
      <c r="H283" s="66"/>
      <c r="I283" s="67"/>
      <c r="J283" s="67"/>
      <c r="K283" s="31" t="s">
        <v>65</v>
      </c>
      <c r="L283" s="68">
        <v>283</v>
      </c>
      <c r="M283" s="68"/>
      <c r="N283" s="69"/>
      <c r="O283" s="84" t="s">
        <v>653</v>
      </c>
      <c r="P283" s="84" t="s">
        <v>215</v>
      </c>
      <c r="Q283" s="88" t="s">
        <v>934</v>
      </c>
      <c r="R283" s="84" t="s">
        <v>486</v>
      </c>
      <c r="S283" s="84" t="s">
        <v>1324</v>
      </c>
      <c r="T283" s="90" t="str">
        <f>HYPERLINK("http://www.youtube.com/channel/UCfiFT1zYwKhUL89CY013UkA")</f>
        <v>http://www.youtube.com/channel/UCfiFT1zYwKhUL89CY013UkA</v>
      </c>
      <c r="U283" s="84"/>
      <c r="V283" s="84" t="s">
        <v>1487</v>
      </c>
      <c r="W283" s="90" t="str">
        <f>HYPERLINK("https://www.youtube.com/watch?v=lBULLJFAT50")</f>
        <v>https://www.youtube.com/watch?v=lBULLJFAT50</v>
      </c>
      <c r="X283" s="84" t="s">
        <v>1537</v>
      </c>
      <c r="Y283" s="84">
        <v>0</v>
      </c>
      <c r="Z283" s="84" t="s">
        <v>1709</v>
      </c>
      <c r="AA283" s="84" t="s">
        <v>1709</v>
      </c>
      <c r="AB283" s="84"/>
      <c r="AC283" s="84"/>
      <c r="AD283" s="88" t="s">
        <v>1874</v>
      </c>
      <c r="AE283" s="86">
        <v>2</v>
      </c>
      <c r="AF283" s="87" t="str">
        <f>REPLACE(INDEX(GroupVertices[Group],MATCH(Edges[[#This Row],[Vertex 1]],GroupVertices[Vertex],0)),1,1,"")</f>
        <v>2</v>
      </c>
      <c r="AG283" s="87" t="str">
        <f>REPLACE(INDEX(GroupVertices[Group],MATCH(Edges[[#This Row],[Vertex 2]],GroupVertices[Vertex],0)),1,1,"")</f>
        <v>2</v>
      </c>
      <c r="AH283" s="105"/>
      <c r="AI283" s="105"/>
      <c r="AJ283" s="105"/>
      <c r="AK283" s="105"/>
      <c r="AL283" s="105"/>
      <c r="AM283" s="105"/>
      <c r="AN283" s="105"/>
      <c r="AO283" s="105"/>
      <c r="AP283" s="105"/>
    </row>
    <row r="284" spans="1:42" ht="15">
      <c r="A284" s="61" t="s">
        <v>487</v>
      </c>
      <c r="B284" s="61" t="s">
        <v>650</v>
      </c>
      <c r="C284" s="62" t="s">
        <v>2891</v>
      </c>
      <c r="D284" s="63">
        <v>5</v>
      </c>
      <c r="E284" s="62"/>
      <c r="F284" s="65">
        <v>25</v>
      </c>
      <c r="G284" s="62"/>
      <c r="H284" s="66"/>
      <c r="I284" s="67"/>
      <c r="J284" s="67"/>
      <c r="K284" s="31" t="s">
        <v>65</v>
      </c>
      <c r="L284" s="68">
        <v>284</v>
      </c>
      <c r="M284" s="68"/>
      <c r="N284" s="69"/>
      <c r="O284" s="84" t="s">
        <v>653</v>
      </c>
      <c r="P284" s="84" t="s">
        <v>215</v>
      </c>
      <c r="Q284" s="88" t="s">
        <v>935</v>
      </c>
      <c r="R284" s="84" t="s">
        <v>487</v>
      </c>
      <c r="S284" s="84" t="s">
        <v>1325</v>
      </c>
      <c r="T284" s="90" t="str">
        <f>HYPERLINK("http://www.youtube.com/channel/UCcubfjo1KLwjfocmy8G9rww")</f>
        <v>http://www.youtube.com/channel/UCcubfjo1KLwjfocmy8G9rww</v>
      </c>
      <c r="U284" s="84"/>
      <c r="V284" s="84" t="s">
        <v>1487</v>
      </c>
      <c r="W284" s="90" t="str">
        <f>HYPERLINK("https://www.youtube.com/watch?v=lBULLJFAT50")</f>
        <v>https://www.youtube.com/watch?v=lBULLJFAT50</v>
      </c>
      <c r="X284" s="84" t="s">
        <v>1537</v>
      </c>
      <c r="Y284" s="84">
        <v>0</v>
      </c>
      <c r="Z284" s="84" t="s">
        <v>1710</v>
      </c>
      <c r="AA284" s="84" t="s">
        <v>1710</v>
      </c>
      <c r="AB284" s="84"/>
      <c r="AC284" s="84"/>
      <c r="AD284" s="88" t="s">
        <v>1874</v>
      </c>
      <c r="AE284" s="86">
        <v>1</v>
      </c>
      <c r="AF284" s="87" t="str">
        <f>REPLACE(INDEX(GroupVertices[Group],MATCH(Edges[[#This Row],[Vertex 1]],GroupVertices[Vertex],0)),1,1,"")</f>
        <v>2</v>
      </c>
      <c r="AG284" s="87" t="str">
        <f>REPLACE(INDEX(GroupVertices[Group],MATCH(Edges[[#This Row],[Vertex 2]],GroupVertices[Vertex],0)),1,1,"")</f>
        <v>2</v>
      </c>
      <c r="AH284" s="105"/>
      <c r="AI284" s="105"/>
      <c r="AJ284" s="105"/>
      <c r="AK284" s="105"/>
      <c r="AL284" s="105"/>
      <c r="AM284" s="105"/>
      <c r="AN284" s="105"/>
      <c r="AO284" s="105"/>
      <c r="AP284" s="105"/>
    </row>
    <row r="285" spans="1:42" ht="15">
      <c r="A285" s="61" t="s">
        <v>488</v>
      </c>
      <c r="B285" s="61" t="s">
        <v>650</v>
      </c>
      <c r="C285" s="62" t="s">
        <v>2891</v>
      </c>
      <c r="D285" s="63">
        <v>5</v>
      </c>
      <c r="E285" s="62"/>
      <c r="F285" s="65">
        <v>25</v>
      </c>
      <c r="G285" s="62"/>
      <c r="H285" s="66"/>
      <c r="I285" s="67"/>
      <c r="J285" s="67"/>
      <c r="K285" s="31" t="s">
        <v>65</v>
      </c>
      <c r="L285" s="68">
        <v>285</v>
      </c>
      <c r="M285" s="68"/>
      <c r="N285" s="69"/>
      <c r="O285" s="84" t="s">
        <v>653</v>
      </c>
      <c r="P285" s="84" t="s">
        <v>215</v>
      </c>
      <c r="Q285" s="88" t="s">
        <v>936</v>
      </c>
      <c r="R285" s="84" t="s">
        <v>488</v>
      </c>
      <c r="S285" s="84" t="s">
        <v>1326</v>
      </c>
      <c r="T285" s="90" t="str">
        <f>HYPERLINK("http://www.youtube.com/channel/UCXut-GK1daiLKc71QA7TBdA")</f>
        <v>http://www.youtube.com/channel/UCXut-GK1daiLKc71QA7TBdA</v>
      </c>
      <c r="U285" s="84"/>
      <c r="V285" s="84" t="s">
        <v>1487</v>
      </c>
      <c r="W285" s="90" t="str">
        <f>HYPERLINK("https://www.youtube.com/watch?v=lBULLJFAT50")</f>
        <v>https://www.youtube.com/watch?v=lBULLJFAT50</v>
      </c>
      <c r="X285" s="84" t="s">
        <v>1537</v>
      </c>
      <c r="Y285" s="84">
        <v>0</v>
      </c>
      <c r="Z285" s="84" t="s">
        <v>1711</v>
      </c>
      <c r="AA285" s="84" t="s">
        <v>1711</v>
      </c>
      <c r="AB285" s="84"/>
      <c r="AC285" s="84"/>
      <c r="AD285" s="88" t="s">
        <v>1874</v>
      </c>
      <c r="AE285" s="86">
        <v>1</v>
      </c>
      <c r="AF285" s="87" t="str">
        <f>REPLACE(INDEX(GroupVertices[Group],MATCH(Edges[[#This Row],[Vertex 1]],GroupVertices[Vertex],0)),1,1,"")</f>
        <v>2</v>
      </c>
      <c r="AG285" s="87" t="str">
        <f>REPLACE(INDEX(GroupVertices[Group],MATCH(Edges[[#This Row],[Vertex 2]],GroupVertices[Vertex],0)),1,1,"")</f>
        <v>2</v>
      </c>
      <c r="AH285" s="105"/>
      <c r="AI285" s="105"/>
      <c r="AJ285" s="105"/>
      <c r="AK285" s="105"/>
      <c r="AL285" s="105"/>
      <c r="AM285" s="105"/>
      <c r="AN285" s="105"/>
      <c r="AO285" s="105"/>
      <c r="AP285" s="105"/>
    </row>
    <row r="286" spans="1:42" ht="15">
      <c r="A286" s="61" t="s">
        <v>489</v>
      </c>
      <c r="B286" s="61" t="s">
        <v>650</v>
      </c>
      <c r="C286" s="62" t="s">
        <v>2892</v>
      </c>
      <c r="D286" s="63">
        <v>5.833333333333333</v>
      </c>
      <c r="E286" s="62"/>
      <c r="F286" s="65">
        <v>15</v>
      </c>
      <c r="G286" s="62"/>
      <c r="H286" s="66"/>
      <c r="I286" s="67"/>
      <c r="J286" s="67"/>
      <c r="K286" s="31" t="s">
        <v>65</v>
      </c>
      <c r="L286" s="68">
        <v>286</v>
      </c>
      <c r="M286" s="68"/>
      <c r="N286" s="69"/>
      <c r="O286" s="84" t="s">
        <v>653</v>
      </c>
      <c r="P286" s="84" t="s">
        <v>215</v>
      </c>
      <c r="Q286" s="88" t="s">
        <v>937</v>
      </c>
      <c r="R286" s="84" t="s">
        <v>489</v>
      </c>
      <c r="S286" s="84" t="s">
        <v>1327</v>
      </c>
      <c r="T286" s="90" t="str">
        <f>HYPERLINK("http://www.youtube.com/channel/UCfRG_33MjoFgZ9KVYHQxfiQ")</f>
        <v>http://www.youtube.com/channel/UCfRG_33MjoFgZ9KVYHQxfiQ</v>
      </c>
      <c r="U286" s="84"/>
      <c r="V286" s="84" t="s">
        <v>1487</v>
      </c>
      <c r="W286" s="90" t="str">
        <f>HYPERLINK("https://www.youtube.com/watch?v=lBULLJFAT50")</f>
        <v>https://www.youtube.com/watch?v=lBULLJFAT50</v>
      </c>
      <c r="X286" s="84" t="s">
        <v>1537</v>
      </c>
      <c r="Y286" s="84">
        <v>1</v>
      </c>
      <c r="Z286" s="93">
        <v>44844.892847222225</v>
      </c>
      <c r="AA286" s="93">
        <v>44844.892847222225</v>
      </c>
      <c r="AB286" s="84"/>
      <c r="AC286" s="84"/>
      <c r="AD286" s="88" t="s">
        <v>1874</v>
      </c>
      <c r="AE286" s="86">
        <v>2</v>
      </c>
      <c r="AF286" s="87" t="str">
        <f>REPLACE(INDEX(GroupVertices[Group],MATCH(Edges[[#This Row],[Vertex 1]],GroupVertices[Vertex],0)),1,1,"")</f>
        <v>2</v>
      </c>
      <c r="AG286" s="87" t="str">
        <f>REPLACE(INDEX(GroupVertices[Group],MATCH(Edges[[#This Row],[Vertex 2]],GroupVertices[Vertex],0)),1,1,"")</f>
        <v>2</v>
      </c>
      <c r="AH286" s="105"/>
      <c r="AI286" s="105"/>
      <c r="AJ286" s="105"/>
      <c r="AK286" s="105"/>
      <c r="AL286" s="105"/>
      <c r="AM286" s="105"/>
      <c r="AN286" s="105"/>
      <c r="AO286" s="105"/>
      <c r="AP286" s="105"/>
    </row>
    <row r="287" spans="1:42" ht="15">
      <c r="A287" s="61" t="s">
        <v>489</v>
      </c>
      <c r="B287" s="61" t="s">
        <v>650</v>
      </c>
      <c r="C287" s="62" t="s">
        <v>2892</v>
      </c>
      <c r="D287" s="63">
        <v>5.833333333333333</v>
      </c>
      <c r="E287" s="62"/>
      <c r="F287" s="65">
        <v>15</v>
      </c>
      <c r="G287" s="62"/>
      <c r="H287" s="66"/>
      <c r="I287" s="67"/>
      <c r="J287" s="67"/>
      <c r="K287" s="31" t="s">
        <v>65</v>
      </c>
      <c r="L287" s="68">
        <v>287</v>
      </c>
      <c r="M287" s="68"/>
      <c r="N287" s="69"/>
      <c r="O287" s="84" t="s">
        <v>653</v>
      </c>
      <c r="P287" s="84" t="s">
        <v>215</v>
      </c>
      <c r="Q287" s="88" t="s">
        <v>938</v>
      </c>
      <c r="R287" s="84" t="s">
        <v>489</v>
      </c>
      <c r="S287" s="84" t="s">
        <v>1327</v>
      </c>
      <c r="T287" s="90" t="str">
        <f>HYPERLINK("http://www.youtube.com/channel/UCfRG_33MjoFgZ9KVYHQxfiQ")</f>
        <v>http://www.youtube.com/channel/UCfRG_33MjoFgZ9KVYHQxfiQ</v>
      </c>
      <c r="U287" s="84"/>
      <c r="V287" s="84" t="s">
        <v>1487</v>
      </c>
      <c r="W287" s="90" t="str">
        <f>HYPERLINK("https://www.youtube.com/watch?v=lBULLJFAT50")</f>
        <v>https://www.youtube.com/watch?v=lBULLJFAT50</v>
      </c>
      <c r="X287" s="84" t="s">
        <v>1537</v>
      </c>
      <c r="Y287" s="84">
        <v>5</v>
      </c>
      <c r="Z287" s="93">
        <v>44844.89486111111</v>
      </c>
      <c r="AA287" s="93">
        <v>44844.89486111111</v>
      </c>
      <c r="AB287" s="84"/>
      <c r="AC287" s="84"/>
      <c r="AD287" s="88" t="s">
        <v>1874</v>
      </c>
      <c r="AE287" s="86">
        <v>2</v>
      </c>
      <c r="AF287" s="87" t="str">
        <f>REPLACE(INDEX(GroupVertices[Group],MATCH(Edges[[#This Row],[Vertex 1]],GroupVertices[Vertex],0)),1,1,"")</f>
        <v>2</v>
      </c>
      <c r="AG287" s="87" t="str">
        <f>REPLACE(INDEX(GroupVertices[Group],MATCH(Edges[[#This Row],[Vertex 2]],GroupVertices[Vertex],0)),1,1,"")</f>
        <v>2</v>
      </c>
      <c r="AH287" s="105"/>
      <c r="AI287" s="105"/>
      <c r="AJ287" s="105"/>
      <c r="AK287" s="105"/>
      <c r="AL287" s="105"/>
      <c r="AM287" s="105"/>
      <c r="AN287" s="105"/>
      <c r="AO287" s="105"/>
      <c r="AP287" s="105"/>
    </row>
    <row r="288" spans="1:42" ht="15">
      <c r="A288" s="61" t="s">
        <v>490</v>
      </c>
      <c r="B288" s="61" t="s">
        <v>650</v>
      </c>
      <c r="C288" s="62" t="s">
        <v>2891</v>
      </c>
      <c r="D288" s="63">
        <v>5</v>
      </c>
      <c r="E288" s="62"/>
      <c r="F288" s="65">
        <v>25</v>
      </c>
      <c r="G288" s="62"/>
      <c r="H288" s="66"/>
      <c r="I288" s="67"/>
      <c r="J288" s="67"/>
      <c r="K288" s="31" t="s">
        <v>65</v>
      </c>
      <c r="L288" s="68">
        <v>288</v>
      </c>
      <c r="M288" s="68"/>
      <c r="N288" s="69"/>
      <c r="O288" s="84" t="s">
        <v>653</v>
      </c>
      <c r="P288" s="84" t="s">
        <v>215</v>
      </c>
      <c r="Q288" s="88" t="s">
        <v>939</v>
      </c>
      <c r="R288" s="84" t="s">
        <v>490</v>
      </c>
      <c r="S288" s="84" t="s">
        <v>1328</v>
      </c>
      <c r="T288" s="90" t="str">
        <f>HYPERLINK("http://www.youtube.com/channel/UC60ke-iKRhFPPAvQk2P5z4g")</f>
        <v>http://www.youtube.com/channel/UC60ke-iKRhFPPAvQk2P5z4g</v>
      </c>
      <c r="U288" s="84"/>
      <c r="V288" s="84" t="s">
        <v>1487</v>
      </c>
      <c r="W288" s="90" t="str">
        <f>HYPERLINK("https://www.youtube.com/watch?v=lBULLJFAT50")</f>
        <v>https://www.youtube.com/watch?v=lBULLJFAT50</v>
      </c>
      <c r="X288" s="84" t="s">
        <v>1537</v>
      </c>
      <c r="Y288" s="84">
        <v>1</v>
      </c>
      <c r="Z288" s="84" t="s">
        <v>1712</v>
      </c>
      <c r="AA288" s="84" t="s">
        <v>1712</v>
      </c>
      <c r="AB288" s="84"/>
      <c r="AC288" s="84"/>
      <c r="AD288" s="88" t="s">
        <v>1874</v>
      </c>
      <c r="AE288" s="86">
        <v>1</v>
      </c>
      <c r="AF288" s="87" t="str">
        <f>REPLACE(INDEX(GroupVertices[Group],MATCH(Edges[[#This Row],[Vertex 1]],GroupVertices[Vertex],0)),1,1,"")</f>
        <v>2</v>
      </c>
      <c r="AG288" s="87" t="str">
        <f>REPLACE(INDEX(GroupVertices[Group],MATCH(Edges[[#This Row],[Vertex 2]],GroupVertices[Vertex],0)),1,1,"")</f>
        <v>2</v>
      </c>
      <c r="AH288" s="105"/>
      <c r="AI288" s="105"/>
      <c r="AJ288" s="105"/>
      <c r="AK288" s="105"/>
      <c r="AL288" s="105"/>
      <c r="AM288" s="105"/>
      <c r="AN288" s="105"/>
      <c r="AO288" s="105"/>
      <c r="AP288" s="105"/>
    </row>
    <row r="289" spans="1:42" ht="15">
      <c r="A289" s="61" t="s">
        <v>491</v>
      </c>
      <c r="B289" s="61" t="s">
        <v>650</v>
      </c>
      <c r="C289" s="62" t="s">
        <v>2891</v>
      </c>
      <c r="D289" s="63">
        <v>5</v>
      </c>
      <c r="E289" s="62"/>
      <c r="F289" s="65">
        <v>25</v>
      </c>
      <c r="G289" s="62"/>
      <c r="H289" s="66"/>
      <c r="I289" s="67"/>
      <c r="J289" s="67"/>
      <c r="K289" s="31" t="s">
        <v>65</v>
      </c>
      <c r="L289" s="68">
        <v>289</v>
      </c>
      <c r="M289" s="68"/>
      <c r="N289" s="69"/>
      <c r="O289" s="84" t="s">
        <v>653</v>
      </c>
      <c r="P289" s="84" t="s">
        <v>215</v>
      </c>
      <c r="Q289" s="88" t="s">
        <v>940</v>
      </c>
      <c r="R289" s="84" t="s">
        <v>491</v>
      </c>
      <c r="S289" s="84" t="s">
        <v>1329</v>
      </c>
      <c r="T289" s="90" t="str">
        <f>HYPERLINK("http://www.youtube.com/channel/UCdbn3zzovJRU5ZaW2hApdaQ")</f>
        <v>http://www.youtube.com/channel/UCdbn3zzovJRU5ZaW2hApdaQ</v>
      </c>
      <c r="U289" s="84"/>
      <c r="V289" s="84" t="s">
        <v>1487</v>
      </c>
      <c r="W289" s="90" t="str">
        <f>HYPERLINK("https://www.youtube.com/watch?v=lBULLJFAT50")</f>
        <v>https://www.youtube.com/watch?v=lBULLJFAT50</v>
      </c>
      <c r="X289" s="84" t="s">
        <v>1537</v>
      </c>
      <c r="Y289" s="84">
        <v>1</v>
      </c>
      <c r="Z289" s="84" t="s">
        <v>1713</v>
      </c>
      <c r="AA289" s="84" t="s">
        <v>1713</v>
      </c>
      <c r="AB289" s="84"/>
      <c r="AC289" s="84"/>
      <c r="AD289" s="88" t="s">
        <v>1874</v>
      </c>
      <c r="AE289" s="86">
        <v>1</v>
      </c>
      <c r="AF289" s="87" t="str">
        <f>REPLACE(INDEX(GroupVertices[Group],MATCH(Edges[[#This Row],[Vertex 1]],GroupVertices[Vertex],0)),1,1,"")</f>
        <v>2</v>
      </c>
      <c r="AG289" s="87" t="str">
        <f>REPLACE(INDEX(GroupVertices[Group],MATCH(Edges[[#This Row],[Vertex 2]],GroupVertices[Vertex],0)),1,1,"")</f>
        <v>2</v>
      </c>
      <c r="AH289" s="105"/>
      <c r="AI289" s="105"/>
      <c r="AJ289" s="105"/>
      <c r="AK289" s="105"/>
      <c r="AL289" s="105"/>
      <c r="AM289" s="105"/>
      <c r="AN289" s="105"/>
      <c r="AO289" s="105"/>
      <c r="AP289" s="105"/>
    </row>
    <row r="290" spans="1:42" ht="15">
      <c r="A290" s="61" t="s">
        <v>492</v>
      </c>
      <c r="B290" s="61" t="s">
        <v>650</v>
      </c>
      <c r="C290" s="62" t="s">
        <v>2891</v>
      </c>
      <c r="D290" s="63">
        <v>5</v>
      </c>
      <c r="E290" s="62"/>
      <c r="F290" s="65">
        <v>25</v>
      </c>
      <c r="G290" s="62"/>
      <c r="H290" s="66"/>
      <c r="I290" s="67"/>
      <c r="J290" s="67"/>
      <c r="K290" s="31" t="s">
        <v>65</v>
      </c>
      <c r="L290" s="68">
        <v>290</v>
      </c>
      <c r="M290" s="68"/>
      <c r="N290" s="69"/>
      <c r="O290" s="84" t="s">
        <v>653</v>
      </c>
      <c r="P290" s="84" t="s">
        <v>215</v>
      </c>
      <c r="Q290" s="88" t="s">
        <v>941</v>
      </c>
      <c r="R290" s="84" t="s">
        <v>492</v>
      </c>
      <c r="S290" s="84" t="s">
        <v>1330</v>
      </c>
      <c r="T290" s="90" t="str">
        <f>HYPERLINK("http://www.youtube.com/channel/UCaUWZSW08BcoSBXr6J7ix5g")</f>
        <v>http://www.youtube.com/channel/UCaUWZSW08BcoSBXr6J7ix5g</v>
      </c>
      <c r="U290" s="84"/>
      <c r="V290" s="84" t="s">
        <v>1487</v>
      </c>
      <c r="W290" s="90" t="str">
        <f>HYPERLINK("https://www.youtube.com/watch?v=lBULLJFAT50")</f>
        <v>https://www.youtube.com/watch?v=lBULLJFAT50</v>
      </c>
      <c r="X290" s="84" t="s">
        <v>1537</v>
      </c>
      <c r="Y290" s="84">
        <v>0</v>
      </c>
      <c r="Z290" s="93">
        <v>44845.99759259259</v>
      </c>
      <c r="AA290" s="93">
        <v>44845.99759259259</v>
      </c>
      <c r="AB290" s="84"/>
      <c r="AC290" s="84"/>
      <c r="AD290" s="88" t="s">
        <v>1874</v>
      </c>
      <c r="AE290" s="86">
        <v>1</v>
      </c>
      <c r="AF290" s="87" t="str">
        <f>REPLACE(INDEX(GroupVertices[Group],MATCH(Edges[[#This Row],[Vertex 1]],GroupVertices[Vertex],0)),1,1,"")</f>
        <v>2</v>
      </c>
      <c r="AG290" s="87" t="str">
        <f>REPLACE(INDEX(GroupVertices[Group],MATCH(Edges[[#This Row],[Vertex 2]],GroupVertices[Vertex],0)),1,1,"")</f>
        <v>2</v>
      </c>
      <c r="AH290" s="105"/>
      <c r="AI290" s="105"/>
      <c r="AJ290" s="105"/>
      <c r="AK290" s="105"/>
      <c r="AL290" s="105"/>
      <c r="AM290" s="105"/>
      <c r="AN290" s="105"/>
      <c r="AO290" s="105"/>
      <c r="AP290" s="105"/>
    </row>
    <row r="291" spans="1:42" ht="15">
      <c r="A291" s="61" t="s">
        <v>493</v>
      </c>
      <c r="B291" s="61" t="s">
        <v>650</v>
      </c>
      <c r="C291" s="62" t="s">
        <v>2891</v>
      </c>
      <c r="D291" s="63">
        <v>5</v>
      </c>
      <c r="E291" s="62"/>
      <c r="F291" s="65">
        <v>25</v>
      </c>
      <c r="G291" s="62"/>
      <c r="H291" s="66"/>
      <c r="I291" s="67"/>
      <c r="J291" s="67"/>
      <c r="K291" s="31" t="s">
        <v>65</v>
      </c>
      <c r="L291" s="68">
        <v>291</v>
      </c>
      <c r="M291" s="68"/>
      <c r="N291" s="69"/>
      <c r="O291" s="84" t="s">
        <v>653</v>
      </c>
      <c r="P291" s="84" t="s">
        <v>215</v>
      </c>
      <c r="Q291" s="88" t="s">
        <v>942</v>
      </c>
      <c r="R291" s="84" t="s">
        <v>493</v>
      </c>
      <c r="S291" s="84" t="s">
        <v>1331</v>
      </c>
      <c r="T291" s="90" t="str">
        <f>HYPERLINK("http://www.youtube.com/channel/UCeLB1cmGI0OO7UJ4Q6IZylg")</f>
        <v>http://www.youtube.com/channel/UCeLB1cmGI0OO7UJ4Q6IZylg</v>
      </c>
      <c r="U291" s="84"/>
      <c r="V291" s="84" t="s">
        <v>1487</v>
      </c>
      <c r="W291" s="90" t="str">
        <f>HYPERLINK("https://www.youtube.com/watch?v=lBULLJFAT50")</f>
        <v>https://www.youtube.com/watch?v=lBULLJFAT50</v>
      </c>
      <c r="X291" s="84" t="s">
        <v>1537</v>
      </c>
      <c r="Y291" s="84">
        <v>1</v>
      </c>
      <c r="Z291" s="84" t="s">
        <v>1714</v>
      </c>
      <c r="AA291" s="84" t="s">
        <v>1714</v>
      </c>
      <c r="AB291" s="84"/>
      <c r="AC291" s="84"/>
      <c r="AD291" s="88" t="s">
        <v>1874</v>
      </c>
      <c r="AE291" s="86">
        <v>1</v>
      </c>
      <c r="AF291" s="87" t="str">
        <f>REPLACE(INDEX(GroupVertices[Group],MATCH(Edges[[#This Row],[Vertex 1]],GroupVertices[Vertex],0)),1,1,"")</f>
        <v>2</v>
      </c>
      <c r="AG291" s="87" t="str">
        <f>REPLACE(INDEX(GroupVertices[Group],MATCH(Edges[[#This Row],[Vertex 2]],GroupVertices[Vertex],0)),1,1,"")</f>
        <v>2</v>
      </c>
      <c r="AH291" s="105"/>
      <c r="AI291" s="105"/>
      <c r="AJ291" s="105"/>
      <c r="AK291" s="105"/>
      <c r="AL291" s="105"/>
      <c r="AM291" s="105"/>
      <c r="AN291" s="105"/>
      <c r="AO291" s="105"/>
      <c r="AP291" s="105"/>
    </row>
    <row r="292" spans="1:42" ht="15">
      <c r="A292" s="61" t="s">
        <v>494</v>
      </c>
      <c r="B292" s="61" t="s">
        <v>650</v>
      </c>
      <c r="C292" s="62" t="s">
        <v>2892</v>
      </c>
      <c r="D292" s="63">
        <v>5.833333333333333</v>
      </c>
      <c r="E292" s="62"/>
      <c r="F292" s="65">
        <v>15</v>
      </c>
      <c r="G292" s="62"/>
      <c r="H292" s="66"/>
      <c r="I292" s="67"/>
      <c r="J292" s="67"/>
      <c r="K292" s="31" t="s">
        <v>65</v>
      </c>
      <c r="L292" s="68">
        <v>292</v>
      </c>
      <c r="M292" s="68"/>
      <c r="N292" s="69"/>
      <c r="O292" s="84" t="s">
        <v>653</v>
      </c>
      <c r="P292" s="84" t="s">
        <v>215</v>
      </c>
      <c r="Q292" s="88" t="s">
        <v>943</v>
      </c>
      <c r="R292" s="84" t="s">
        <v>494</v>
      </c>
      <c r="S292" s="84" t="s">
        <v>1332</v>
      </c>
      <c r="T292" s="90" t="str">
        <f>HYPERLINK("http://www.youtube.com/channel/UCO9BGOiWiLekp3u2ijKslrQ")</f>
        <v>http://www.youtube.com/channel/UCO9BGOiWiLekp3u2ijKslrQ</v>
      </c>
      <c r="U292" s="84"/>
      <c r="V292" s="84" t="s">
        <v>1487</v>
      </c>
      <c r="W292" s="90" t="str">
        <f>HYPERLINK("https://www.youtube.com/watch?v=lBULLJFAT50")</f>
        <v>https://www.youtube.com/watch?v=lBULLJFAT50</v>
      </c>
      <c r="X292" s="84" t="s">
        <v>1537</v>
      </c>
      <c r="Y292" s="84">
        <v>92</v>
      </c>
      <c r="Z292" s="84" t="s">
        <v>1715</v>
      </c>
      <c r="AA292" s="84" t="s">
        <v>1715</v>
      </c>
      <c r="AB292" s="84"/>
      <c r="AC292" s="84"/>
      <c r="AD292" s="88" t="s">
        <v>1874</v>
      </c>
      <c r="AE292" s="86">
        <v>2</v>
      </c>
      <c r="AF292" s="87" t="str">
        <f>REPLACE(INDEX(GroupVertices[Group],MATCH(Edges[[#This Row],[Vertex 1]],GroupVertices[Vertex],0)),1,1,"")</f>
        <v>2</v>
      </c>
      <c r="AG292" s="87" t="str">
        <f>REPLACE(INDEX(GroupVertices[Group],MATCH(Edges[[#This Row],[Vertex 2]],GroupVertices[Vertex],0)),1,1,"")</f>
        <v>2</v>
      </c>
      <c r="AH292" s="105"/>
      <c r="AI292" s="105"/>
      <c r="AJ292" s="105"/>
      <c r="AK292" s="105"/>
      <c r="AL292" s="105"/>
      <c r="AM292" s="105"/>
      <c r="AN292" s="105"/>
      <c r="AO292" s="105"/>
      <c r="AP292" s="105"/>
    </row>
    <row r="293" spans="1:42" ht="15">
      <c r="A293" s="61" t="s">
        <v>494</v>
      </c>
      <c r="B293" s="61" t="s">
        <v>650</v>
      </c>
      <c r="C293" s="62" t="s">
        <v>2892</v>
      </c>
      <c r="D293" s="63">
        <v>5.833333333333333</v>
      </c>
      <c r="E293" s="62"/>
      <c r="F293" s="65">
        <v>15</v>
      </c>
      <c r="G293" s="62"/>
      <c r="H293" s="66"/>
      <c r="I293" s="67"/>
      <c r="J293" s="67"/>
      <c r="K293" s="31" t="s">
        <v>65</v>
      </c>
      <c r="L293" s="68">
        <v>293</v>
      </c>
      <c r="M293" s="68"/>
      <c r="N293" s="69"/>
      <c r="O293" s="84" t="s">
        <v>653</v>
      </c>
      <c r="P293" s="84" t="s">
        <v>215</v>
      </c>
      <c r="Q293" s="88" t="s">
        <v>944</v>
      </c>
      <c r="R293" s="84" t="s">
        <v>494</v>
      </c>
      <c r="S293" s="84" t="s">
        <v>1332</v>
      </c>
      <c r="T293" s="90" t="str">
        <f>HYPERLINK("http://www.youtube.com/channel/UCO9BGOiWiLekp3u2ijKslrQ")</f>
        <v>http://www.youtube.com/channel/UCO9BGOiWiLekp3u2ijKslrQ</v>
      </c>
      <c r="U293" s="84"/>
      <c r="V293" s="84" t="s">
        <v>1487</v>
      </c>
      <c r="W293" s="90" t="str">
        <f>HYPERLINK("https://www.youtube.com/watch?v=lBULLJFAT50")</f>
        <v>https://www.youtube.com/watch?v=lBULLJFAT50</v>
      </c>
      <c r="X293" s="84" t="s">
        <v>1537</v>
      </c>
      <c r="Y293" s="84">
        <v>0</v>
      </c>
      <c r="Z293" s="84" t="s">
        <v>1716</v>
      </c>
      <c r="AA293" s="84" t="s">
        <v>1716</v>
      </c>
      <c r="AB293" s="84"/>
      <c r="AC293" s="84"/>
      <c r="AD293" s="88" t="s">
        <v>1874</v>
      </c>
      <c r="AE293" s="86">
        <v>2</v>
      </c>
      <c r="AF293" s="87" t="str">
        <f>REPLACE(INDEX(GroupVertices[Group],MATCH(Edges[[#This Row],[Vertex 1]],GroupVertices[Vertex],0)),1,1,"")</f>
        <v>2</v>
      </c>
      <c r="AG293" s="87" t="str">
        <f>REPLACE(INDEX(GroupVertices[Group],MATCH(Edges[[#This Row],[Vertex 2]],GroupVertices[Vertex],0)),1,1,"")</f>
        <v>2</v>
      </c>
      <c r="AH293" s="105"/>
      <c r="AI293" s="105"/>
      <c r="AJ293" s="105"/>
      <c r="AK293" s="105"/>
      <c r="AL293" s="105"/>
      <c r="AM293" s="105"/>
      <c r="AN293" s="105"/>
      <c r="AO293" s="105"/>
      <c r="AP293" s="105"/>
    </row>
    <row r="294" spans="1:42" ht="15">
      <c r="A294" s="61" t="s">
        <v>495</v>
      </c>
      <c r="B294" s="61" t="s">
        <v>650</v>
      </c>
      <c r="C294" s="62" t="s">
        <v>2891</v>
      </c>
      <c r="D294" s="63">
        <v>5</v>
      </c>
      <c r="E294" s="62"/>
      <c r="F294" s="65">
        <v>25</v>
      </c>
      <c r="G294" s="62"/>
      <c r="H294" s="66"/>
      <c r="I294" s="67"/>
      <c r="J294" s="67"/>
      <c r="K294" s="31" t="s">
        <v>65</v>
      </c>
      <c r="L294" s="68">
        <v>294</v>
      </c>
      <c r="M294" s="68"/>
      <c r="N294" s="69"/>
      <c r="O294" s="84" t="s">
        <v>653</v>
      </c>
      <c r="P294" s="84" t="s">
        <v>215</v>
      </c>
      <c r="Q294" s="88" t="s">
        <v>945</v>
      </c>
      <c r="R294" s="84" t="s">
        <v>495</v>
      </c>
      <c r="S294" s="84" t="s">
        <v>1333</v>
      </c>
      <c r="T294" s="90" t="str">
        <f>HYPERLINK("http://www.youtube.com/channel/UChS6zykVB8B8KhgelQJ1swg")</f>
        <v>http://www.youtube.com/channel/UChS6zykVB8B8KhgelQJ1swg</v>
      </c>
      <c r="U294" s="84"/>
      <c r="V294" s="84" t="s">
        <v>1487</v>
      </c>
      <c r="W294" s="90" t="str">
        <f>HYPERLINK("https://www.youtube.com/watch?v=lBULLJFAT50")</f>
        <v>https://www.youtube.com/watch?v=lBULLJFAT50</v>
      </c>
      <c r="X294" s="84" t="s">
        <v>1537</v>
      </c>
      <c r="Y294" s="84">
        <v>1</v>
      </c>
      <c r="Z294" s="84" t="s">
        <v>1717</v>
      </c>
      <c r="AA294" s="84" t="s">
        <v>1717</v>
      </c>
      <c r="AB294" s="84"/>
      <c r="AC294" s="84"/>
      <c r="AD294" s="88" t="s">
        <v>1874</v>
      </c>
      <c r="AE294" s="86">
        <v>1</v>
      </c>
      <c r="AF294" s="87" t="str">
        <f>REPLACE(INDEX(GroupVertices[Group],MATCH(Edges[[#This Row],[Vertex 1]],GroupVertices[Vertex],0)),1,1,"")</f>
        <v>2</v>
      </c>
      <c r="AG294" s="87" t="str">
        <f>REPLACE(INDEX(GroupVertices[Group],MATCH(Edges[[#This Row],[Vertex 2]],GroupVertices[Vertex],0)),1,1,"")</f>
        <v>2</v>
      </c>
      <c r="AH294" s="105"/>
      <c r="AI294" s="105"/>
      <c r="AJ294" s="105"/>
      <c r="AK294" s="105"/>
      <c r="AL294" s="105"/>
      <c r="AM294" s="105"/>
      <c r="AN294" s="105"/>
      <c r="AO294" s="105"/>
      <c r="AP294" s="105"/>
    </row>
    <row r="295" spans="1:42" ht="15">
      <c r="A295" s="61" t="s">
        <v>496</v>
      </c>
      <c r="B295" s="61" t="s">
        <v>650</v>
      </c>
      <c r="C295" s="62" t="s">
        <v>2891</v>
      </c>
      <c r="D295" s="63">
        <v>5</v>
      </c>
      <c r="E295" s="62"/>
      <c r="F295" s="65">
        <v>25</v>
      </c>
      <c r="G295" s="62"/>
      <c r="H295" s="66"/>
      <c r="I295" s="67"/>
      <c r="J295" s="67"/>
      <c r="K295" s="31" t="s">
        <v>65</v>
      </c>
      <c r="L295" s="68">
        <v>295</v>
      </c>
      <c r="M295" s="68"/>
      <c r="N295" s="69"/>
      <c r="O295" s="84" t="s">
        <v>653</v>
      </c>
      <c r="P295" s="84" t="s">
        <v>215</v>
      </c>
      <c r="Q295" s="88" t="s">
        <v>946</v>
      </c>
      <c r="R295" s="84" t="s">
        <v>496</v>
      </c>
      <c r="S295" s="84" t="s">
        <v>1334</v>
      </c>
      <c r="T295" s="90" t="str">
        <f>HYPERLINK("http://www.youtube.com/channel/UC4Kgn3RS0n8MkDsxr8kvMTg")</f>
        <v>http://www.youtube.com/channel/UC4Kgn3RS0n8MkDsxr8kvMTg</v>
      </c>
      <c r="U295" s="84"/>
      <c r="V295" s="84" t="s">
        <v>1487</v>
      </c>
      <c r="W295" s="90" t="str">
        <f>HYPERLINK("https://www.youtube.com/watch?v=lBULLJFAT50")</f>
        <v>https://www.youtube.com/watch?v=lBULLJFAT50</v>
      </c>
      <c r="X295" s="84" t="s">
        <v>1537</v>
      </c>
      <c r="Y295" s="84">
        <v>1</v>
      </c>
      <c r="Z295" s="84" t="s">
        <v>1718</v>
      </c>
      <c r="AA295" s="84" t="s">
        <v>1718</v>
      </c>
      <c r="AB295" s="84"/>
      <c r="AC295" s="84"/>
      <c r="AD295" s="88" t="s">
        <v>1874</v>
      </c>
      <c r="AE295" s="86">
        <v>1</v>
      </c>
      <c r="AF295" s="87" t="str">
        <f>REPLACE(INDEX(GroupVertices[Group],MATCH(Edges[[#This Row],[Vertex 1]],GroupVertices[Vertex],0)),1,1,"")</f>
        <v>2</v>
      </c>
      <c r="AG295" s="87" t="str">
        <f>REPLACE(INDEX(GroupVertices[Group],MATCH(Edges[[#This Row],[Vertex 2]],GroupVertices[Vertex],0)),1,1,"")</f>
        <v>2</v>
      </c>
      <c r="AH295" s="105"/>
      <c r="AI295" s="105"/>
      <c r="AJ295" s="105"/>
      <c r="AK295" s="105"/>
      <c r="AL295" s="105"/>
      <c r="AM295" s="105"/>
      <c r="AN295" s="105"/>
      <c r="AO295" s="105"/>
      <c r="AP295" s="105"/>
    </row>
    <row r="296" spans="1:42" ht="15">
      <c r="A296" s="61" t="s">
        <v>497</v>
      </c>
      <c r="B296" s="61" t="s">
        <v>650</v>
      </c>
      <c r="C296" s="62" t="s">
        <v>2891</v>
      </c>
      <c r="D296" s="63">
        <v>5</v>
      </c>
      <c r="E296" s="62"/>
      <c r="F296" s="65">
        <v>25</v>
      </c>
      <c r="G296" s="62"/>
      <c r="H296" s="66"/>
      <c r="I296" s="67"/>
      <c r="J296" s="67"/>
      <c r="K296" s="31" t="s">
        <v>65</v>
      </c>
      <c r="L296" s="68">
        <v>296</v>
      </c>
      <c r="M296" s="68"/>
      <c r="N296" s="69"/>
      <c r="O296" s="84" t="s">
        <v>653</v>
      </c>
      <c r="P296" s="84" t="s">
        <v>215</v>
      </c>
      <c r="Q296" s="88" t="s">
        <v>947</v>
      </c>
      <c r="R296" s="84" t="s">
        <v>497</v>
      </c>
      <c r="S296" s="84" t="s">
        <v>1335</v>
      </c>
      <c r="T296" s="90" t="str">
        <f>HYPERLINK("http://www.youtube.com/channel/UCGNWBR5q_j0DZJLlgFMO6iA")</f>
        <v>http://www.youtube.com/channel/UCGNWBR5q_j0DZJLlgFMO6iA</v>
      </c>
      <c r="U296" s="84"/>
      <c r="V296" s="84" t="s">
        <v>1487</v>
      </c>
      <c r="W296" s="90" t="str">
        <f>HYPERLINK("https://www.youtube.com/watch?v=lBULLJFAT50")</f>
        <v>https://www.youtube.com/watch?v=lBULLJFAT50</v>
      </c>
      <c r="X296" s="84" t="s">
        <v>1537</v>
      </c>
      <c r="Y296" s="84">
        <v>2</v>
      </c>
      <c r="Z296" s="93">
        <v>45201.379375</v>
      </c>
      <c r="AA296" s="93">
        <v>45201.379375</v>
      </c>
      <c r="AB296" s="84"/>
      <c r="AC296" s="84"/>
      <c r="AD296" s="88" t="s">
        <v>1874</v>
      </c>
      <c r="AE296" s="86">
        <v>1</v>
      </c>
      <c r="AF296" s="87" t="str">
        <f>REPLACE(INDEX(GroupVertices[Group],MATCH(Edges[[#This Row],[Vertex 1]],GroupVertices[Vertex],0)),1,1,"")</f>
        <v>2</v>
      </c>
      <c r="AG296" s="87" t="str">
        <f>REPLACE(INDEX(GroupVertices[Group],MATCH(Edges[[#This Row],[Vertex 2]],GroupVertices[Vertex],0)),1,1,"")</f>
        <v>2</v>
      </c>
      <c r="AH296" s="105"/>
      <c r="AI296" s="105"/>
      <c r="AJ296" s="105"/>
      <c r="AK296" s="105"/>
      <c r="AL296" s="105"/>
      <c r="AM296" s="105"/>
      <c r="AN296" s="105"/>
      <c r="AO296" s="105"/>
      <c r="AP296" s="105"/>
    </row>
    <row r="297" spans="1:42" ht="15">
      <c r="A297" s="61" t="s">
        <v>498</v>
      </c>
      <c r="B297" s="61" t="s">
        <v>650</v>
      </c>
      <c r="C297" s="62" t="s">
        <v>2891</v>
      </c>
      <c r="D297" s="63">
        <v>5</v>
      </c>
      <c r="E297" s="62"/>
      <c r="F297" s="65">
        <v>25</v>
      </c>
      <c r="G297" s="62"/>
      <c r="H297" s="66"/>
      <c r="I297" s="67"/>
      <c r="J297" s="67"/>
      <c r="K297" s="31" t="s">
        <v>65</v>
      </c>
      <c r="L297" s="68">
        <v>297</v>
      </c>
      <c r="M297" s="68"/>
      <c r="N297" s="69"/>
      <c r="O297" s="84" t="s">
        <v>653</v>
      </c>
      <c r="P297" s="84" t="s">
        <v>215</v>
      </c>
      <c r="Q297" s="88" t="s">
        <v>948</v>
      </c>
      <c r="R297" s="84" t="s">
        <v>498</v>
      </c>
      <c r="S297" s="84" t="s">
        <v>1336</v>
      </c>
      <c r="T297" s="90" t="str">
        <f>HYPERLINK("http://www.youtube.com/channel/UCQBu5DORSj_C2YYftxfac-w")</f>
        <v>http://www.youtube.com/channel/UCQBu5DORSj_C2YYftxfac-w</v>
      </c>
      <c r="U297" s="84"/>
      <c r="V297" s="84" t="s">
        <v>1487</v>
      </c>
      <c r="W297" s="90" t="str">
        <f>HYPERLINK("https://www.youtube.com/watch?v=lBULLJFAT50")</f>
        <v>https://www.youtube.com/watch?v=lBULLJFAT50</v>
      </c>
      <c r="X297" s="84" t="s">
        <v>1537</v>
      </c>
      <c r="Y297" s="84">
        <v>0</v>
      </c>
      <c r="Z297" s="84" t="s">
        <v>1719</v>
      </c>
      <c r="AA297" s="84" t="s">
        <v>1719</v>
      </c>
      <c r="AB297" s="84"/>
      <c r="AC297" s="84"/>
      <c r="AD297" s="88" t="s">
        <v>1874</v>
      </c>
      <c r="AE297" s="86">
        <v>1</v>
      </c>
      <c r="AF297" s="87" t="str">
        <f>REPLACE(INDEX(GroupVertices[Group],MATCH(Edges[[#This Row],[Vertex 1]],GroupVertices[Vertex],0)),1,1,"")</f>
        <v>2</v>
      </c>
      <c r="AG297" s="87" t="str">
        <f>REPLACE(INDEX(GroupVertices[Group],MATCH(Edges[[#This Row],[Vertex 2]],GroupVertices[Vertex],0)),1,1,"")</f>
        <v>2</v>
      </c>
      <c r="AH297" s="105"/>
      <c r="AI297" s="105"/>
      <c r="AJ297" s="105"/>
      <c r="AK297" s="105"/>
      <c r="AL297" s="105"/>
      <c r="AM297" s="105"/>
      <c r="AN297" s="105"/>
      <c r="AO297" s="105"/>
      <c r="AP297" s="105"/>
    </row>
    <row r="298" spans="1:42" ht="15">
      <c r="A298" s="61" t="s">
        <v>499</v>
      </c>
      <c r="B298" s="61" t="s">
        <v>650</v>
      </c>
      <c r="C298" s="62" t="s">
        <v>2891</v>
      </c>
      <c r="D298" s="63">
        <v>5</v>
      </c>
      <c r="E298" s="62"/>
      <c r="F298" s="65">
        <v>25</v>
      </c>
      <c r="G298" s="62"/>
      <c r="H298" s="66"/>
      <c r="I298" s="67"/>
      <c r="J298" s="67"/>
      <c r="K298" s="31" t="s">
        <v>65</v>
      </c>
      <c r="L298" s="68">
        <v>298</v>
      </c>
      <c r="M298" s="68"/>
      <c r="N298" s="69"/>
      <c r="O298" s="84" t="s">
        <v>653</v>
      </c>
      <c r="P298" s="84" t="s">
        <v>215</v>
      </c>
      <c r="Q298" s="88" t="s">
        <v>949</v>
      </c>
      <c r="R298" s="84" t="s">
        <v>499</v>
      </c>
      <c r="S298" s="84" t="s">
        <v>1337</v>
      </c>
      <c r="T298" s="90" t="str">
        <f>HYPERLINK("http://www.youtube.com/channel/UCcQA1m-Y0Hrh6ZSeKVfTCFA")</f>
        <v>http://www.youtube.com/channel/UCcQA1m-Y0Hrh6ZSeKVfTCFA</v>
      </c>
      <c r="U298" s="84"/>
      <c r="V298" s="84" t="s">
        <v>1487</v>
      </c>
      <c r="W298" s="90" t="str">
        <f>HYPERLINK("https://www.youtube.com/watch?v=lBULLJFAT50")</f>
        <v>https://www.youtube.com/watch?v=lBULLJFAT50</v>
      </c>
      <c r="X298" s="84" t="s">
        <v>1537</v>
      </c>
      <c r="Y298" s="84">
        <v>0</v>
      </c>
      <c r="Z298" s="84" t="s">
        <v>1720</v>
      </c>
      <c r="AA298" s="84" t="s">
        <v>1850</v>
      </c>
      <c r="AB298" s="84"/>
      <c r="AC298" s="84"/>
      <c r="AD298" s="88" t="s">
        <v>1874</v>
      </c>
      <c r="AE298" s="86">
        <v>1</v>
      </c>
      <c r="AF298" s="87" t="str">
        <f>REPLACE(INDEX(GroupVertices[Group],MATCH(Edges[[#This Row],[Vertex 1]],GroupVertices[Vertex],0)),1,1,"")</f>
        <v>2</v>
      </c>
      <c r="AG298" s="87" t="str">
        <f>REPLACE(INDEX(GroupVertices[Group],MATCH(Edges[[#This Row],[Vertex 2]],GroupVertices[Vertex],0)),1,1,"")</f>
        <v>2</v>
      </c>
      <c r="AH298" s="105"/>
      <c r="AI298" s="105"/>
      <c r="AJ298" s="105"/>
      <c r="AK298" s="105"/>
      <c r="AL298" s="105"/>
      <c r="AM298" s="105"/>
      <c r="AN298" s="105"/>
      <c r="AO298" s="105"/>
      <c r="AP298" s="105"/>
    </row>
    <row r="299" spans="1:42" ht="15">
      <c r="A299" s="61" t="s">
        <v>500</v>
      </c>
      <c r="B299" s="61" t="s">
        <v>650</v>
      </c>
      <c r="C299" s="62" t="s">
        <v>2891</v>
      </c>
      <c r="D299" s="63">
        <v>5</v>
      </c>
      <c r="E299" s="62"/>
      <c r="F299" s="65">
        <v>25</v>
      </c>
      <c r="G299" s="62"/>
      <c r="H299" s="66"/>
      <c r="I299" s="67"/>
      <c r="J299" s="67"/>
      <c r="K299" s="31" t="s">
        <v>65</v>
      </c>
      <c r="L299" s="68">
        <v>299</v>
      </c>
      <c r="M299" s="68"/>
      <c r="N299" s="69"/>
      <c r="O299" s="84" t="s">
        <v>653</v>
      </c>
      <c r="P299" s="84" t="s">
        <v>215</v>
      </c>
      <c r="Q299" s="88" t="s">
        <v>950</v>
      </c>
      <c r="R299" s="84" t="s">
        <v>500</v>
      </c>
      <c r="S299" s="84" t="s">
        <v>1338</v>
      </c>
      <c r="T299" s="90" t="str">
        <f>HYPERLINK("http://www.youtube.com/channel/UCb1pGOUe90oXVPT4PuiSn9w")</f>
        <v>http://www.youtube.com/channel/UCb1pGOUe90oXVPT4PuiSn9w</v>
      </c>
      <c r="U299" s="84"/>
      <c r="V299" s="84" t="s">
        <v>1487</v>
      </c>
      <c r="W299" s="90" t="str">
        <f>HYPERLINK("https://www.youtube.com/watch?v=lBULLJFAT50")</f>
        <v>https://www.youtube.com/watch?v=lBULLJFAT50</v>
      </c>
      <c r="X299" s="84" t="s">
        <v>1537</v>
      </c>
      <c r="Y299" s="84">
        <v>0</v>
      </c>
      <c r="Z299" s="93">
        <v>45081.97809027778</v>
      </c>
      <c r="AA299" s="93">
        <v>45081.97809027778</v>
      </c>
      <c r="AB299" s="84"/>
      <c r="AC299" s="84"/>
      <c r="AD299" s="88" t="s">
        <v>1874</v>
      </c>
      <c r="AE299" s="86">
        <v>1</v>
      </c>
      <c r="AF299" s="87" t="str">
        <f>REPLACE(INDEX(GroupVertices[Group],MATCH(Edges[[#This Row],[Vertex 1]],GroupVertices[Vertex],0)),1,1,"")</f>
        <v>2</v>
      </c>
      <c r="AG299" s="87" t="str">
        <f>REPLACE(INDEX(GroupVertices[Group],MATCH(Edges[[#This Row],[Vertex 2]],GroupVertices[Vertex],0)),1,1,"")</f>
        <v>2</v>
      </c>
      <c r="AH299" s="105"/>
      <c r="AI299" s="105"/>
      <c r="AJ299" s="105"/>
      <c r="AK299" s="105"/>
      <c r="AL299" s="105"/>
      <c r="AM299" s="105"/>
      <c r="AN299" s="105"/>
      <c r="AO299" s="105"/>
      <c r="AP299" s="105"/>
    </row>
    <row r="300" spans="1:42" ht="15">
      <c r="A300" s="61" t="s">
        <v>501</v>
      </c>
      <c r="B300" s="61" t="s">
        <v>650</v>
      </c>
      <c r="C300" s="62" t="s">
        <v>2891</v>
      </c>
      <c r="D300" s="63">
        <v>5</v>
      </c>
      <c r="E300" s="62"/>
      <c r="F300" s="65">
        <v>25</v>
      </c>
      <c r="G300" s="62"/>
      <c r="H300" s="66"/>
      <c r="I300" s="67"/>
      <c r="J300" s="67"/>
      <c r="K300" s="31" t="s">
        <v>65</v>
      </c>
      <c r="L300" s="68">
        <v>300</v>
      </c>
      <c r="M300" s="68"/>
      <c r="N300" s="69"/>
      <c r="O300" s="84" t="s">
        <v>653</v>
      </c>
      <c r="P300" s="84" t="s">
        <v>215</v>
      </c>
      <c r="Q300" s="88" t="s">
        <v>951</v>
      </c>
      <c r="R300" s="84" t="s">
        <v>501</v>
      </c>
      <c r="S300" s="84" t="s">
        <v>1339</v>
      </c>
      <c r="T300" s="90" t="str">
        <f>HYPERLINK("http://www.youtube.com/channel/UC0CccC4SX47d0rXuEQ59fTg")</f>
        <v>http://www.youtube.com/channel/UC0CccC4SX47d0rXuEQ59fTg</v>
      </c>
      <c r="U300" s="84"/>
      <c r="V300" s="84" t="s">
        <v>1487</v>
      </c>
      <c r="W300" s="90" t="str">
        <f>HYPERLINK("https://www.youtube.com/watch?v=lBULLJFAT50")</f>
        <v>https://www.youtube.com/watch?v=lBULLJFAT50</v>
      </c>
      <c r="X300" s="84" t="s">
        <v>1537</v>
      </c>
      <c r="Y300" s="84">
        <v>0</v>
      </c>
      <c r="Z300" s="93">
        <v>45111.88590277778</v>
      </c>
      <c r="AA300" s="93">
        <v>45111.88590277778</v>
      </c>
      <c r="AB300" s="84"/>
      <c r="AC300" s="84"/>
      <c r="AD300" s="88" t="s">
        <v>1874</v>
      </c>
      <c r="AE300" s="86">
        <v>1</v>
      </c>
      <c r="AF300" s="87" t="str">
        <f>REPLACE(INDEX(GroupVertices[Group],MATCH(Edges[[#This Row],[Vertex 1]],GroupVertices[Vertex],0)),1,1,"")</f>
        <v>2</v>
      </c>
      <c r="AG300" s="87" t="str">
        <f>REPLACE(INDEX(GroupVertices[Group],MATCH(Edges[[#This Row],[Vertex 2]],GroupVertices[Vertex],0)),1,1,"")</f>
        <v>2</v>
      </c>
      <c r="AH300" s="105"/>
      <c r="AI300" s="105"/>
      <c r="AJ300" s="105"/>
      <c r="AK300" s="105"/>
      <c r="AL300" s="105"/>
      <c r="AM300" s="105"/>
      <c r="AN300" s="105"/>
      <c r="AO300" s="105"/>
      <c r="AP300" s="105"/>
    </row>
    <row r="301" spans="1:42" ht="15">
      <c r="A301" s="61" t="s">
        <v>502</v>
      </c>
      <c r="B301" s="61" t="s">
        <v>650</v>
      </c>
      <c r="C301" s="62" t="s">
        <v>2891</v>
      </c>
      <c r="D301" s="63">
        <v>5</v>
      </c>
      <c r="E301" s="62"/>
      <c r="F301" s="65">
        <v>25</v>
      </c>
      <c r="G301" s="62"/>
      <c r="H301" s="66"/>
      <c r="I301" s="67"/>
      <c r="J301" s="67"/>
      <c r="K301" s="31" t="s">
        <v>65</v>
      </c>
      <c r="L301" s="68">
        <v>301</v>
      </c>
      <c r="M301" s="68"/>
      <c r="N301" s="69"/>
      <c r="O301" s="84" t="s">
        <v>653</v>
      </c>
      <c r="P301" s="84" t="s">
        <v>215</v>
      </c>
      <c r="Q301" s="88" t="s">
        <v>952</v>
      </c>
      <c r="R301" s="84" t="s">
        <v>502</v>
      </c>
      <c r="S301" s="84" t="s">
        <v>1340</v>
      </c>
      <c r="T301" s="90" t="str">
        <f>HYPERLINK("http://www.youtube.com/channel/UCxwcBJiUsy8D4GRCvm2XvAw")</f>
        <v>http://www.youtube.com/channel/UCxwcBJiUsy8D4GRCvm2XvAw</v>
      </c>
      <c r="U301" s="84"/>
      <c r="V301" s="84" t="s">
        <v>1487</v>
      </c>
      <c r="W301" s="90" t="str">
        <f>HYPERLINK("https://www.youtube.com/watch?v=lBULLJFAT50")</f>
        <v>https://www.youtube.com/watch?v=lBULLJFAT50</v>
      </c>
      <c r="X301" s="84" t="s">
        <v>1537</v>
      </c>
      <c r="Y301" s="84">
        <v>0</v>
      </c>
      <c r="Z301" s="93">
        <v>45203.6794212963</v>
      </c>
      <c r="AA301" s="93">
        <v>45203.6794212963</v>
      </c>
      <c r="AB301" s="84"/>
      <c r="AC301" s="84"/>
      <c r="AD301" s="88" t="s">
        <v>1874</v>
      </c>
      <c r="AE301" s="86">
        <v>1</v>
      </c>
      <c r="AF301" s="87" t="str">
        <f>REPLACE(INDEX(GroupVertices[Group],MATCH(Edges[[#This Row],[Vertex 1]],GroupVertices[Vertex],0)),1,1,"")</f>
        <v>2</v>
      </c>
      <c r="AG301" s="87" t="str">
        <f>REPLACE(INDEX(GroupVertices[Group],MATCH(Edges[[#This Row],[Vertex 2]],GroupVertices[Vertex],0)),1,1,"")</f>
        <v>2</v>
      </c>
      <c r="AH301" s="105"/>
      <c r="AI301" s="105"/>
      <c r="AJ301" s="105"/>
      <c r="AK301" s="105"/>
      <c r="AL301" s="105"/>
      <c r="AM301" s="105"/>
      <c r="AN301" s="105"/>
      <c r="AO301" s="105"/>
      <c r="AP301" s="105"/>
    </row>
    <row r="302" spans="1:42" ht="15">
      <c r="A302" s="61" t="s">
        <v>503</v>
      </c>
      <c r="B302" s="61" t="s">
        <v>650</v>
      </c>
      <c r="C302" s="62" t="s">
        <v>2891</v>
      </c>
      <c r="D302" s="63">
        <v>5</v>
      </c>
      <c r="E302" s="62"/>
      <c r="F302" s="65">
        <v>25</v>
      </c>
      <c r="G302" s="62"/>
      <c r="H302" s="66"/>
      <c r="I302" s="67"/>
      <c r="J302" s="67"/>
      <c r="K302" s="31" t="s">
        <v>65</v>
      </c>
      <c r="L302" s="68">
        <v>302</v>
      </c>
      <c r="M302" s="68"/>
      <c r="N302" s="69"/>
      <c r="O302" s="84" t="s">
        <v>653</v>
      </c>
      <c r="P302" s="84" t="s">
        <v>215</v>
      </c>
      <c r="Q302" s="88" t="s">
        <v>953</v>
      </c>
      <c r="R302" s="84" t="s">
        <v>503</v>
      </c>
      <c r="S302" s="84" t="s">
        <v>1341</v>
      </c>
      <c r="T302" s="90" t="str">
        <f>HYPERLINK("http://www.youtube.com/channel/UCYudHr0cITvCHUCK-UA1Gkw")</f>
        <v>http://www.youtube.com/channel/UCYudHr0cITvCHUCK-UA1Gkw</v>
      </c>
      <c r="U302" s="84"/>
      <c r="V302" s="84" t="s">
        <v>1487</v>
      </c>
      <c r="W302" s="90" t="str">
        <f>HYPERLINK("https://www.youtube.com/watch?v=lBULLJFAT50")</f>
        <v>https://www.youtube.com/watch?v=lBULLJFAT50</v>
      </c>
      <c r="X302" s="84" t="s">
        <v>1537</v>
      </c>
      <c r="Y302" s="84">
        <v>0</v>
      </c>
      <c r="Z302" s="93">
        <v>45234.64082175926</v>
      </c>
      <c r="AA302" s="93">
        <v>45234.64082175926</v>
      </c>
      <c r="AB302" s="84"/>
      <c r="AC302" s="84"/>
      <c r="AD302" s="88" t="s">
        <v>1874</v>
      </c>
      <c r="AE302" s="86">
        <v>1</v>
      </c>
      <c r="AF302" s="87" t="str">
        <f>REPLACE(INDEX(GroupVertices[Group],MATCH(Edges[[#This Row],[Vertex 1]],GroupVertices[Vertex],0)),1,1,"")</f>
        <v>2</v>
      </c>
      <c r="AG302" s="87" t="str">
        <f>REPLACE(INDEX(GroupVertices[Group],MATCH(Edges[[#This Row],[Vertex 2]],GroupVertices[Vertex],0)),1,1,"")</f>
        <v>2</v>
      </c>
      <c r="AH302" s="105"/>
      <c r="AI302" s="105"/>
      <c r="AJ302" s="105"/>
      <c r="AK302" s="105"/>
      <c r="AL302" s="105"/>
      <c r="AM302" s="105"/>
      <c r="AN302" s="105"/>
      <c r="AO302" s="105"/>
      <c r="AP302" s="105"/>
    </row>
    <row r="303" spans="1:42" ht="15">
      <c r="A303" s="61" t="s">
        <v>504</v>
      </c>
      <c r="B303" s="61" t="s">
        <v>650</v>
      </c>
      <c r="C303" s="62" t="s">
        <v>2892</v>
      </c>
      <c r="D303" s="63">
        <v>5.833333333333333</v>
      </c>
      <c r="E303" s="62"/>
      <c r="F303" s="65">
        <v>15</v>
      </c>
      <c r="G303" s="62"/>
      <c r="H303" s="66"/>
      <c r="I303" s="67"/>
      <c r="J303" s="67"/>
      <c r="K303" s="31" t="s">
        <v>65</v>
      </c>
      <c r="L303" s="68">
        <v>303</v>
      </c>
      <c r="M303" s="68"/>
      <c r="N303" s="69"/>
      <c r="O303" s="84" t="s">
        <v>653</v>
      </c>
      <c r="P303" s="84" t="s">
        <v>215</v>
      </c>
      <c r="Q303" s="88" t="s">
        <v>954</v>
      </c>
      <c r="R303" s="84" t="s">
        <v>504</v>
      </c>
      <c r="S303" s="84" t="s">
        <v>1342</v>
      </c>
      <c r="T303" s="90" t="str">
        <f>HYPERLINK("http://www.youtube.com/channel/UCtQEZ0WMF79pmHqqLz-W2_w")</f>
        <v>http://www.youtube.com/channel/UCtQEZ0WMF79pmHqqLz-W2_w</v>
      </c>
      <c r="U303" s="84"/>
      <c r="V303" s="84" t="s">
        <v>1487</v>
      </c>
      <c r="W303" s="90" t="str">
        <f>HYPERLINK("https://www.youtube.com/watch?v=lBULLJFAT50")</f>
        <v>https://www.youtube.com/watch?v=lBULLJFAT50</v>
      </c>
      <c r="X303" s="84" t="s">
        <v>1537</v>
      </c>
      <c r="Y303" s="84">
        <v>0</v>
      </c>
      <c r="Z303" s="93">
        <v>45051.89063657408</v>
      </c>
      <c r="AA303" s="93">
        <v>45051.89063657408</v>
      </c>
      <c r="AB303" s="84"/>
      <c r="AC303" s="84"/>
      <c r="AD303" s="88" t="s">
        <v>1874</v>
      </c>
      <c r="AE303" s="86">
        <v>2</v>
      </c>
      <c r="AF303" s="87" t="str">
        <f>REPLACE(INDEX(GroupVertices[Group],MATCH(Edges[[#This Row],[Vertex 1]],GroupVertices[Vertex],0)),1,1,"")</f>
        <v>2</v>
      </c>
      <c r="AG303" s="87" t="str">
        <f>REPLACE(INDEX(GroupVertices[Group],MATCH(Edges[[#This Row],[Vertex 2]],GroupVertices[Vertex],0)),1,1,"")</f>
        <v>2</v>
      </c>
      <c r="AH303" s="105"/>
      <c r="AI303" s="105"/>
      <c r="AJ303" s="105"/>
      <c r="AK303" s="105"/>
      <c r="AL303" s="105"/>
      <c r="AM303" s="105"/>
      <c r="AN303" s="105"/>
      <c r="AO303" s="105"/>
      <c r="AP303" s="105"/>
    </row>
    <row r="304" spans="1:42" ht="15">
      <c r="A304" s="61" t="s">
        <v>504</v>
      </c>
      <c r="B304" s="61" t="s">
        <v>650</v>
      </c>
      <c r="C304" s="62" t="s">
        <v>2892</v>
      </c>
      <c r="D304" s="63">
        <v>5.833333333333333</v>
      </c>
      <c r="E304" s="62"/>
      <c r="F304" s="65">
        <v>15</v>
      </c>
      <c r="G304" s="62"/>
      <c r="H304" s="66"/>
      <c r="I304" s="67"/>
      <c r="J304" s="67"/>
      <c r="K304" s="31" t="s">
        <v>65</v>
      </c>
      <c r="L304" s="68">
        <v>304</v>
      </c>
      <c r="M304" s="68"/>
      <c r="N304" s="69"/>
      <c r="O304" s="84" t="s">
        <v>653</v>
      </c>
      <c r="P304" s="84" t="s">
        <v>215</v>
      </c>
      <c r="Q304" s="88" t="s">
        <v>955</v>
      </c>
      <c r="R304" s="84" t="s">
        <v>504</v>
      </c>
      <c r="S304" s="84" t="s">
        <v>1342</v>
      </c>
      <c r="T304" s="90" t="str">
        <f>HYPERLINK("http://www.youtube.com/channel/UCtQEZ0WMF79pmHqqLz-W2_w")</f>
        <v>http://www.youtube.com/channel/UCtQEZ0WMF79pmHqqLz-W2_w</v>
      </c>
      <c r="U304" s="84"/>
      <c r="V304" s="84" t="s">
        <v>1487</v>
      </c>
      <c r="W304" s="90" t="str">
        <f>HYPERLINK("https://www.youtube.com/watch?v=lBULLJFAT50")</f>
        <v>https://www.youtube.com/watch?v=lBULLJFAT50</v>
      </c>
      <c r="X304" s="84" t="s">
        <v>1537</v>
      </c>
      <c r="Y304" s="84">
        <v>0</v>
      </c>
      <c r="Z304" s="93">
        <v>45051.89648148148</v>
      </c>
      <c r="AA304" s="93">
        <v>45051.89648148148</v>
      </c>
      <c r="AB304" s="84"/>
      <c r="AC304" s="84"/>
      <c r="AD304" s="88" t="s">
        <v>1874</v>
      </c>
      <c r="AE304" s="86">
        <v>2</v>
      </c>
      <c r="AF304" s="87" t="str">
        <f>REPLACE(INDEX(GroupVertices[Group],MATCH(Edges[[#This Row],[Vertex 1]],GroupVertices[Vertex],0)),1,1,"")</f>
        <v>2</v>
      </c>
      <c r="AG304" s="87" t="str">
        <f>REPLACE(INDEX(GroupVertices[Group],MATCH(Edges[[#This Row],[Vertex 2]],GroupVertices[Vertex],0)),1,1,"")</f>
        <v>2</v>
      </c>
      <c r="AH304" s="105"/>
      <c r="AI304" s="105"/>
      <c r="AJ304" s="105"/>
      <c r="AK304" s="105"/>
      <c r="AL304" s="105"/>
      <c r="AM304" s="105"/>
      <c r="AN304" s="105"/>
      <c r="AO304" s="105"/>
      <c r="AP304" s="105"/>
    </row>
    <row r="305" spans="1:42" ht="15">
      <c r="A305" s="61" t="s">
        <v>505</v>
      </c>
      <c r="B305" s="61" t="s">
        <v>650</v>
      </c>
      <c r="C305" s="62" t="s">
        <v>2891</v>
      </c>
      <c r="D305" s="63">
        <v>5</v>
      </c>
      <c r="E305" s="62"/>
      <c r="F305" s="65">
        <v>25</v>
      </c>
      <c r="G305" s="62"/>
      <c r="H305" s="66"/>
      <c r="I305" s="67"/>
      <c r="J305" s="67"/>
      <c r="K305" s="31" t="s">
        <v>65</v>
      </c>
      <c r="L305" s="68">
        <v>305</v>
      </c>
      <c r="M305" s="68"/>
      <c r="N305" s="69"/>
      <c r="O305" s="84" t="s">
        <v>653</v>
      </c>
      <c r="P305" s="84" t="s">
        <v>215</v>
      </c>
      <c r="Q305" s="88" t="s">
        <v>956</v>
      </c>
      <c r="R305" s="84" t="s">
        <v>505</v>
      </c>
      <c r="S305" s="84" t="s">
        <v>1343</v>
      </c>
      <c r="T305" s="90" t="str">
        <f>HYPERLINK("http://www.youtube.com/channel/UCbUFESlDoe1ag7newYZrYiA")</f>
        <v>http://www.youtube.com/channel/UCbUFESlDoe1ag7newYZrYiA</v>
      </c>
      <c r="U305" s="84"/>
      <c r="V305" s="84" t="s">
        <v>1487</v>
      </c>
      <c r="W305" s="90" t="str">
        <f>HYPERLINK("https://www.youtube.com/watch?v=lBULLJFAT50")</f>
        <v>https://www.youtube.com/watch?v=lBULLJFAT50</v>
      </c>
      <c r="X305" s="84" t="s">
        <v>1537</v>
      </c>
      <c r="Y305" s="84">
        <v>0</v>
      </c>
      <c r="Z305" s="84" t="s">
        <v>1721</v>
      </c>
      <c r="AA305" s="84" t="s">
        <v>1721</v>
      </c>
      <c r="AB305" s="84"/>
      <c r="AC305" s="84"/>
      <c r="AD305" s="88" t="s">
        <v>1874</v>
      </c>
      <c r="AE305" s="86">
        <v>1</v>
      </c>
      <c r="AF305" s="87" t="str">
        <f>REPLACE(INDEX(GroupVertices[Group],MATCH(Edges[[#This Row],[Vertex 1]],GroupVertices[Vertex],0)),1,1,"")</f>
        <v>2</v>
      </c>
      <c r="AG305" s="87" t="str">
        <f>REPLACE(INDEX(GroupVertices[Group],MATCH(Edges[[#This Row],[Vertex 2]],GroupVertices[Vertex],0)),1,1,"")</f>
        <v>2</v>
      </c>
      <c r="AH305" s="105"/>
      <c r="AI305" s="105"/>
      <c r="AJ305" s="105"/>
      <c r="AK305" s="105"/>
      <c r="AL305" s="105"/>
      <c r="AM305" s="105"/>
      <c r="AN305" s="105"/>
      <c r="AO305" s="105"/>
      <c r="AP305" s="105"/>
    </row>
    <row r="306" spans="1:42" ht="15">
      <c r="A306" s="61" t="s">
        <v>506</v>
      </c>
      <c r="B306" s="61" t="s">
        <v>651</v>
      </c>
      <c r="C306" s="62" t="s">
        <v>2891</v>
      </c>
      <c r="D306" s="63">
        <v>5</v>
      </c>
      <c r="E306" s="62"/>
      <c r="F306" s="65">
        <v>25</v>
      </c>
      <c r="G306" s="62"/>
      <c r="H306" s="66"/>
      <c r="I306" s="67"/>
      <c r="J306" s="67"/>
      <c r="K306" s="31" t="s">
        <v>65</v>
      </c>
      <c r="L306" s="68">
        <v>306</v>
      </c>
      <c r="M306" s="68"/>
      <c r="N306" s="69"/>
      <c r="O306" s="84" t="s">
        <v>653</v>
      </c>
      <c r="P306" s="84" t="s">
        <v>215</v>
      </c>
      <c r="Q306" s="88" t="s">
        <v>957</v>
      </c>
      <c r="R306" s="84" t="s">
        <v>506</v>
      </c>
      <c r="S306" s="84" t="s">
        <v>1344</v>
      </c>
      <c r="T306" s="90" t="str">
        <f>HYPERLINK("http://www.youtube.com/channel/UC8c9XUxcS0NlapP7vZ-noZw")</f>
        <v>http://www.youtube.com/channel/UC8c9XUxcS0NlapP7vZ-noZw</v>
      </c>
      <c r="U306" s="84"/>
      <c r="V306" s="84" t="s">
        <v>1488</v>
      </c>
      <c r="W306" s="90" t="str">
        <f>HYPERLINK("https://www.youtube.com/watch?v=f9psILoYmCc")</f>
        <v>https://www.youtube.com/watch?v=f9psILoYmCc</v>
      </c>
      <c r="X306" s="84" t="s">
        <v>1537</v>
      </c>
      <c r="Y306" s="84">
        <v>0</v>
      </c>
      <c r="Z306" s="93">
        <v>42959.42092592592</v>
      </c>
      <c r="AA306" s="93">
        <v>42959.42092592592</v>
      </c>
      <c r="AB306" s="84"/>
      <c r="AC306" s="84"/>
      <c r="AD306" s="88" t="s">
        <v>1874</v>
      </c>
      <c r="AE306" s="86">
        <v>1</v>
      </c>
      <c r="AF306" s="87" t="str">
        <f>REPLACE(INDEX(GroupVertices[Group],MATCH(Edges[[#This Row],[Vertex 1]],GroupVertices[Vertex],0)),1,1,"")</f>
        <v>1</v>
      </c>
      <c r="AG306" s="87" t="str">
        <f>REPLACE(INDEX(GroupVertices[Group],MATCH(Edges[[#This Row],[Vertex 2]],GroupVertices[Vertex],0)),1,1,"")</f>
        <v>1</v>
      </c>
      <c r="AH306" s="105"/>
      <c r="AI306" s="105"/>
      <c r="AJ306" s="105"/>
      <c r="AK306" s="105"/>
      <c r="AL306" s="105"/>
      <c r="AM306" s="105"/>
      <c r="AN306" s="105"/>
      <c r="AO306" s="105"/>
      <c r="AP306" s="105"/>
    </row>
    <row r="307" spans="1:42" ht="15">
      <c r="A307" s="61" t="s">
        <v>507</v>
      </c>
      <c r="B307" s="61" t="s">
        <v>651</v>
      </c>
      <c r="C307" s="62" t="s">
        <v>2891</v>
      </c>
      <c r="D307" s="63">
        <v>5</v>
      </c>
      <c r="E307" s="62"/>
      <c r="F307" s="65">
        <v>25</v>
      </c>
      <c r="G307" s="62"/>
      <c r="H307" s="66"/>
      <c r="I307" s="67"/>
      <c r="J307" s="67"/>
      <c r="K307" s="31" t="s">
        <v>65</v>
      </c>
      <c r="L307" s="68">
        <v>307</v>
      </c>
      <c r="M307" s="68"/>
      <c r="N307" s="69"/>
      <c r="O307" s="84" t="s">
        <v>653</v>
      </c>
      <c r="P307" s="84" t="s">
        <v>215</v>
      </c>
      <c r="Q307" s="88" t="s">
        <v>958</v>
      </c>
      <c r="R307" s="84" t="s">
        <v>507</v>
      </c>
      <c r="S307" s="84" t="s">
        <v>1345</v>
      </c>
      <c r="T307" s="90" t="str">
        <f>HYPERLINK("http://www.youtube.com/channel/UCMQp-0kXp6Qr9OAQrds7jDA")</f>
        <v>http://www.youtube.com/channel/UCMQp-0kXp6Qr9OAQrds7jDA</v>
      </c>
      <c r="U307" s="84"/>
      <c r="V307" s="84" t="s">
        <v>1488</v>
      </c>
      <c r="W307" s="90" t="str">
        <f>HYPERLINK("https://www.youtube.com/watch?v=f9psILoYmCc")</f>
        <v>https://www.youtube.com/watch?v=f9psILoYmCc</v>
      </c>
      <c r="X307" s="84" t="s">
        <v>1537</v>
      </c>
      <c r="Y307" s="84">
        <v>3</v>
      </c>
      <c r="Z307" s="93">
        <v>42959.4450462963</v>
      </c>
      <c r="AA307" s="93">
        <v>42959.4450462963</v>
      </c>
      <c r="AB307" s="84"/>
      <c r="AC307" s="84"/>
      <c r="AD307" s="88" t="s">
        <v>1874</v>
      </c>
      <c r="AE307" s="86">
        <v>1</v>
      </c>
      <c r="AF307" s="87" t="str">
        <f>REPLACE(INDEX(GroupVertices[Group],MATCH(Edges[[#This Row],[Vertex 1]],GroupVertices[Vertex],0)),1,1,"")</f>
        <v>1</v>
      </c>
      <c r="AG307" s="87" t="str">
        <f>REPLACE(INDEX(GroupVertices[Group],MATCH(Edges[[#This Row],[Vertex 2]],GroupVertices[Vertex],0)),1,1,"")</f>
        <v>1</v>
      </c>
      <c r="AH307" s="105"/>
      <c r="AI307" s="105"/>
      <c r="AJ307" s="105"/>
      <c r="AK307" s="105"/>
      <c r="AL307" s="105"/>
      <c r="AM307" s="105"/>
      <c r="AN307" s="105"/>
      <c r="AO307" s="105"/>
      <c r="AP307" s="105"/>
    </row>
    <row r="308" spans="1:42" ht="15">
      <c r="A308" s="61" t="s">
        <v>508</v>
      </c>
      <c r="B308" s="61" t="s">
        <v>651</v>
      </c>
      <c r="C308" s="62" t="s">
        <v>2891</v>
      </c>
      <c r="D308" s="63">
        <v>5</v>
      </c>
      <c r="E308" s="62"/>
      <c r="F308" s="65">
        <v>25</v>
      </c>
      <c r="G308" s="62"/>
      <c r="H308" s="66"/>
      <c r="I308" s="67"/>
      <c r="J308" s="67"/>
      <c r="K308" s="31" t="s">
        <v>65</v>
      </c>
      <c r="L308" s="68">
        <v>308</v>
      </c>
      <c r="M308" s="68"/>
      <c r="N308" s="69"/>
      <c r="O308" s="84" t="s">
        <v>653</v>
      </c>
      <c r="P308" s="84" t="s">
        <v>215</v>
      </c>
      <c r="Q308" s="88" t="s">
        <v>959</v>
      </c>
      <c r="R308" s="84" t="s">
        <v>508</v>
      </c>
      <c r="S308" s="84" t="s">
        <v>1346</v>
      </c>
      <c r="T308" s="90" t="str">
        <f>HYPERLINK("http://www.youtube.com/channel/UChn-Crm5oezfkQ5R_qZJTcQ")</f>
        <v>http://www.youtube.com/channel/UChn-Crm5oezfkQ5R_qZJTcQ</v>
      </c>
      <c r="U308" s="84"/>
      <c r="V308" s="84" t="s">
        <v>1488</v>
      </c>
      <c r="W308" s="90" t="str">
        <f>HYPERLINK("https://www.youtube.com/watch?v=f9psILoYmCc")</f>
        <v>https://www.youtube.com/watch?v=f9psILoYmCc</v>
      </c>
      <c r="X308" s="84" t="s">
        <v>1537</v>
      </c>
      <c r="Y308" s="84">
        <v>7</v>
      </c>
      <c r="Z308" s="93">
        <v>42959.77501157407</v>
      </c>
      <c r="AA308" s="93">
        <v>42959.77501157407</v>
      </c>
      <c r="AB308" s="84"/>
      <c r="AC308" s="84"/>
      <c r="AD308" s="88" t="s">
        <v>1874</v>
      </c>
      <c r="AE308" s="86">
        <v>1</v>
      </c>
      <c r="AF308" s="87" t="str">
        <f>REPLACE(INDEX(GroupVertices[Group],MATCH(Edges[[#This Row],[Vertex 1]],GroupVertices[Vertex],0)),1,1,"")</f>
        <v>1</v>
      </c>
      <c r="AG308" s="87" t="str">
        <f>REPLACE(INDEX(GroupVertices[Group],MATCH(Edges[[#This Row],[Vertex 2]],GroupVertices[Vertex],0)),1,1,"")</f>
        <v>1</v>
      </c>
      <c r="AH308" s="105"/>
      <c r="AI308" s="105"/>
      <c r="AJ308" s="105"/>
      <c r="AK308" s="105"/>
      <c r="AL308" s="105"/>
      <c r="AM308" s="105"/>
      <c r="AN308" s="105"/>
      <c r="AO308" s="105"/>
      <c r="AP308" s="105"/>
    </row>
    <row r="309" spans="1:42" ht="15">
      <c r="A309" s="61" t="s">
        <v>509</v>
      </c>
      <c r="B309" s="61" t="s">
        <v>651</v>
      </c>
      <c r="C309" s="62" t="s">
        <v>2891</v>
      </c>
      <c r="D309" s="63">
        <v>5</v>
      </c>
      <c r="E309" s="62"/>
      <c r="F309" s="65">
        <v>25</v>
      </c>
      <c r="G309" s="62"/>
      <c r="H309" s="66"/>
      <c r="I309" s="67"/>
      <c r="J309" s="67"/>
      <c r="K309" s="31" t="s">
        <v>65</v>
      </c>
      <c r="L309" s="68">
        <v>309</v>
      </c>
      <c r="M309" s="68"/>
      <c r="N309" s="69"/>
      <c r="O309" s="84" t="s">
        <v>653</v>
      </c>
      <c r="P309" s="84" t="s">
        <v>215</v>
      </c>
      <c r="Q309" s="88" t="s">
        <v>960</v>
      </c>
      <c r="R309" s="84" t="s">
        <v>509</v>
      </c>
      <c r="S309" s="84" t="s">
        <v>1347</v>
      </c>
      <c r="T309" s="90" t="str">
        <f>HYPERLINK("http://www.youtube.com/channel/UCHazLkCa7qmF3gwl1U6WNmA")</f>
        <v>http://www.youtube.com/channel/UCHazLkCa7qmF3gwl1U6WNmA</v>
      </c>
      <c r="U309" s="84"/>
      <c r="V309" s="84" t="s">
        <v>1488</v>
      </c>
      <c r="W309" s="90" t="str">
        <f>HYPERLINK("https://www.youtube.com/watch?v=f9psILoYmCc")</f>
        <v>https://www.youtube.com/watch?v=f9psILoYmCc</v>
      </c>
      <c r="X309" s="84" t="s">
        <v>1537</v>
      </c>
      <c r="Y309" s="84">
        <v>3</v>
      </c>
      <c r="Z309" s="93">
        <v>42990.285219907404</v>
      </c>
      <c r="AA309" s="93">
        <v>42990.285219907404</v>
      </c>
      <c r="AB309" s="84"/>
      <c r="AC309" s="84"/>
      <c r="AD309" s="88" t="s">
        <v>1874</v>
      </c>
      <c r="AE309" s="86">
        <v>1</v>
      </c>
      <c r="AF309" s="87" t="str">
        <f>REPLACE(INDEX(GroupVertices[Group],MATCH(Edges[[#This Row],[Vertex 1]],GroupVertices[Vertex],0)),1,1,"")</f>
        <v>1</v>
      </c>
      <c r="AG309" s="87" t="str">
        <f>REPLACE(INDEX(GroupVertices[Group],MATCH(Edges[[#This Row],[Vertex 2]],GroupVertices[Vertex],0)),1,1,"")</f>
        <v>1</v>
      </c>
      <c r="AH309" s="105"/>
      <c r="AI309" s="105"/>
      <c r="AJ309" s="105"/>
      <c r="AK309" s="105"/>
      <c r="AL309" s="105"/>
      <c r="AM309" s="105"/>
      <c r="AN309" s="105"/>
      <c r="AO309" s="105"/>
      <c r="AP309" s="105"/>
    </row>
    <row r="310" spans="1:42" ht="15">
      <c r="A310" s="61" t="s">
        <v>510</v>
      </c>
      <c r="B310" s="61" t="s">
        <v>651</v>
      </c>
      <c r="C310" s="62" t="s">
        <v>2891</v>
      </c>
      <c r="D310" s="63">
        <v>5</v>
      </c>
      <c r="E310" s="62"/>
      <c r="F310" s="65">
        <v>25</v>
      </c>
      <c r="G310" s="62"/>
      <c r="H310" s="66"/>
      <c r="I310" s="67"/>
      <c r="J310" s="67"/>
      <c r="K310" s="31" t="s">
        <v>65</v>
      </c>
      <c r="L310" s="68">
        <v>310</v>
      </c>
      <c r="M310" s="68"/>
      <c r="N310" s="69"/>
      <c r="O310" s="84" t="s">
        <v>653</v>
      </c>
      <c r="P310" s="84" t="s">
        <v>215</v>
      </c>
      <c r="Q310" s="88" t="s">
        <v>961</v>
      </c>
      <c r="R310" s="84" t="s">
        <v>510</v>
      </c>
      <c r="S310" s="84" t="s">
        <v>1348</v>
      </c>
      <c r="T310" s="90" t="str">
        <f>HYPERLINK("http://www.youtube.com/channel/UCsTTM93-MWoQ1IZ_0cVo8UA")</f>
        <v>http://www.youtube.com/channel/UCsTTM93-MWoQ1IZ_0cVo8UA</v>
      </c>
      <c r="U310" s="84"/>
      <c r="V310" s="84" t="s">
        <v>1488</v>
      </c>
      <c r="W310" s="90" t="str">
        <f>HYPERLINK("https://www.youtube.com/watch?v=f9psILoYmCc")</f>
        <v>https://www.youtube.com/watch?v=f9psILoYmCc</v>
      </c>
      <c r="X310" s="84" t="s">
        <v>1537</v>
      </c>
      <c r="Y310" s="84">
        <v>2</v>
      </c>
      <c r="Z310" s="93">
        <v>42990.41724537037</v>
      </c>
      <c r="AA310" s="93">
        <v>42990.41724537037</v>
      </c>
      <c r="AB310" s="84"/>
      <c r="AC310" s="84"/>
      <c r="AD310" s="88" t="s">
        <v>1874</v>
      </c>
      <c r="AE310" s="86">
        <v>1</v>
      </c>
      <c r="AF310" s="87" t="str">
        <f>REPLACE(INDEX(GroupVertices[Group],MATCH(Edges[[#This Row],[Vertex 1]],GroupVertices[Vertex],0)),1,1,"")</f>
        <v>1</v>
      </c>
      <c r="AG310" s="87" t="str">
        <f>REPLACE(INDEX(GroupVertices[Group],MATCH(Edges[[#This Row],[Vertex 2]],GroupVertices[Vertex],0)),1,1,"")</f>
        <v>1</v>
      </c>
      <c r="AH310" s="105"/>
      <c r="AI310" s="105"/>
      <c r="AJ310" s="105"/>
      <c r="AK310" s="105"/>
      <c r="AL310" s="105"/>
      <c r="AM310" s="105"/>
      <c r="AN310" s="105"/>
      <c r="AO310" s="105"/>
      <c r="AP310" s="105"/>
    </row>
    <row r="311" spans="1:42" ht="15">
      <c r="A311" s="61" t="s">
        <v>511</v>
      </c>
      <c r="B311" s="61" t="s">
        <v>651</v>
      </c>
      <c r="C311" s="62" t="s">
        <v>2891</v>
      </c>
      <c r="D311" s="63">
        <v>5</v>
      </c>
      <c r="E311" s="62"/>
      <c r="F311" s="65">
        <v>25</v>
      </c>
      <c r="G311" s="62"/>
      <c r="H311" s="66"/>
      <c r="I311" s="67"/>
      <c r="J311" s="67"/>
      <c r="K311" s="31" t="s">
        <v>65</v>
      </c>
      <c r="L311" s="68">
        <v>311</v>
      </c>
      <c r="M311" s="68"/>
      <c r="N311" s="69"/>
      <c r="O311" s="84" t="s">
        <v>653</v>
      </c>
      <c r="P311" s="84" t="s">
        <v>215</v>
      </c>
      <c r="Q311" s="88" t="s">
        <v>962</v>
      </c>
      <c r="R311" s="84" t="s">
        <v>511</v>
      </c>
      <c r="S311" s="84" t="s">
        <v>1349</v>
      </c>
      <c r="T311" s="90" t="str">
        <f>HYPERLINK("http://www.youtube.com/channel/UCSRhMQnkcjUEj8byD3z-Zvw")</f>
        <v>http://www.youtube.com/channel/UCSRhMQnkcjUEj8byD3z-Zvw</v>
      </c>
      <c r="U311" s="84"/>
      <c r="V311" s="84" t="s">
        <v>1488</v>
      </c>
      <c r="W311" s="90" t="str">
        <f>HYPERLINK("https://www.youtube.com/watch?v=f9psILoYmCc")</f>
        <v>https://www.youtube.com/watch?v=f9psILoYmCc</v>
      </c>
      <c r="X311" s="84" t="s">
        <v>1537</v>
      </c>
      <c r="Y311" s="84">
        <v>3</v>
      </c>
      <c r="Z311" s="93">
        <v>42990.91740740741</v>
      </c>
      <c r="AA311" s="93">
        <v>42990.91740740741</v>
      </c>
      <c r="AB311" s="84"/>
      <c r="AC311" s="84"/>
      <c r="AD311" s="88" t="s">
        <v>1874</v>
      </c>
      <c r="AE311" s="86">
        <v>1</v>
      </c>
      <c r="AF311" s="87" t="str">
        <f>REPLACE(INDEX(GroupVertices[Group],MATCH(Edges[[#This Row],[Vertex 1]],GroupVertices[Vertex],0)),1,1,"")</f>
        <v>1</v>
      </c>
      <c r="AG311" s="87" t="str">
        <f>REPLACE(INDEX(GroupVertices[Group],MATCH(Edges[[#This Row],[Vertex 2]],GroupVertices[Vertex],0)),1,1,"")</f>
        <v>1</v>
      </c>
      <c r="AH311" s="105"/>
      <c r="AI311" s="105"/>
      <c r="AJ311" s="105"/>
      <c r="AK311" s="105"/>
      <c r="AL311" s="105"/>
      <c r="AM311" s="105"/>
      <c r="AN311" s="105"/>
      <c r="AO311" s="105"/>
      <c r="AP311" s="105"/>
    </row>
    <row r="312" spans="1:42" ht="15">
      <c r="A312" s="61" t="s">
        <v>512</v>
      </c>
      <c r="B312" s="61" t="s">
        <v>651</v>
      </c>
      <c r="C312" s="62" t="s">
        <v>2891</v>
      </c>
      <c r="D312" s="63">
        <v>5</v>
      </c>
      <c r="E312" s="62"/>
      <c r="F312" s="65">
        <v>25</v>
      </c>
      <c r="G312" s="62"/>
      <c r="H312" s="66"/>
      <c r="I312" s="67"/>
      <c r="J312" s="67"/>
      <c r="K312" s="31" t="s">
        <v>65</v>
      </c>
      <c r="L312" s="68">
        <v>312</v>
      </c>
      <c r="M312" s="68"/>
      <c r="N312" s="69"/>
      <c r="O312" s="84" t="s">
        <v>653</v>
      </c>
      <c r="P312" s="84" t="s">
        <v>215</v>
      </c>
      <c r="Q312" s="88" t="s">
        <v>963</v>
      </c>
      <c r="R312" s="84" t="s">
        <v>512</v>
      </c>
      <c r="S312" s="84" t="s">
        <v>1350</v>
      </c>
      <c r="T312" s="90" t="str">
        <f>HYPERLINK("http://www.youtube.com/channel/UCmHrJ7JkvfVQv3GwY66DqTA")</f>
        <v>http://www.youtube.com/channel/UCmHrJ7JkvfVQv3GwY66DqTA</v>
      </c>
      <c r="U312" s="84"/>
      <c r="V312" s="84" t="s">
        <v>1488</v>
      </c>
      <c r="W312" s="90" t="str">
        <f>HYPERLINK("https://www.youtube.com/watch?v=f9psILoYmCc")</f>
        <v>https://www.youtube.com/watch?v=f9psILoYmCc</v>
      </c>
      <c r="X312" s="84" t="s">
        <v>1537</v>
      </c>
      <c r="Y312" s="84">
        <v>0</v>
      </c>
      <c r="Z312" s="93">
        <v>42990.92935185185</v>
      </c>
      <c r="AA312" s="93">
        <v>42990.92935185185</v>
      </c>
      <c r="AB312" s="84" t="s">
        <v>1863</v>
      </c>
      <c r="AC312" s="84" t="s">
        <v>1869</v>
      </c>
      <c r="AD312" s="88" t="s">
        <v>1874</v>
      </c>
      <c r="AE312" s="86">
        <v>1</v>
      </c>
      <c r="AF312" s="87" t="str">
        <f>REPLACE(INDEX(GroupVertices[Group],MATCH(Edges[[#This Row],[Vertex 1]],GroupVertices[Vertex],0)),1,1,"")</f>
        <v>1</v>
      </c>
      <c r="AG312" s="87" t="str">
        <f>REPLACE(INDEX(GroupVertices[Group],MATCH(Edges[[#This Row],[Vertex 2]],GroupVertices[Vertex],0)),1,1,"")</f>
        <v>1</v>
      </c>
      <c r="AH312" s="105"/>
      <c r="AI312" s="105"/>
      <c r="AJ312" s="105"/>
      <c r="AK312" s="105"/>
      <c r="AL312" s="105"/>
      <c r="AM312" s="105"/>
      <c r="AN312" s="105"/>
      <c r="AO312" s="105"/>
      <c r="AP312" s="105"/>
    </row>
    <row r="313" spans="1:42" ht="15">
      <c r="A313" s="61" t="s">
        <v>513</v>
      </c>
      <c r="B313" s="61" t="s">
        <v>651</v>
      </c>
      <c r="C313" s="62" t="s">
        <v>2891</v>
      </c>
      <c r="D313" s="63">
        <v>5</v>
      </c>
      <c r="E313" s="62"/>
      <c r="F313" s="65">
        <v>25</v>
      </c>
      <c r="G313" s="62"/>
      <c r="H313" s="66"/>
      <c r="I313" s="67"/>
      <c r="J313" s="67"/>
      <c r="K313" s="31" t="s">
        <v>65</v>
      </c>
      <c r="L313" s="68">
        <v>313</v>
      </c>
      <c r="M313" s="68"/>
      <c r="N313" s="69"/>
      <c r="O313" s="84" t="s">
        <v>653</v>
      </c>
      <c r="P313" s="84" t="s">
        <v>215</v>
      </c>
      <c r="Q313" s="88" t="s">
        <v>964</v>
      </c>
      <c r="R313" s="84" t="s">
        <v>513</v>
      </c>
      <c r="S313" s="84" t="s">
        <v>1351</v>
      </c>
      <c r="T313" s="90" t="str">
        <f>HYPERLINK("http://www.youtube.com/channel/UCg4u7k-jvBu5oyPIv96Q1Gw")</f>
        <v>http://www.youtube.com/channel/UCg4u7k-jvBu5oyPIv96Q1Gw</v>
      </c>
      <c r="U313" s="84"/>
      <c r="V313" s="84" t="s">
        <v>1488</v>
      </c>
      <c r="W313" s="90" t="str">
        <f>HYPERLINK("https://www.youtube.com/watch?v=f9psILoYmCc")</f>
        <v>https://www.youtube.com/watch?v=f9psILoYmCc</v>
      </c>
      <c r="X313" s="84" t="s">
        <v>1537</v>
      </c>
      <c r="Y313" s="84">
        <v>1</v>
      </c>
      <c r="Z313" s="93">
        <v>43020.44855324074</v>
      </c>
      <c r="AA313" s="93">
        <v>43020.44855324074</v>
      </c>
      <c r="AB313" s="84"/>
      <c r="AC313" s="84"/>
      <c r="AD313" s="88" t="s">
        <v>1874</v>
      </c>
      <c r="AE313" s="86">
        <v>1</v>
      </c>
      <c r="AF313" s="87" t="str">
        <f>REPLACE(INDEX(GroupVertices[Group],MATCH(Edges[[#This Row],[Vertex 1]],GroupVertices[Vertex],0)),1,1,"")</f>
        <v>1</v>
      </c>
      <c r="AG313" s="87" t="str">
        <f>REPLACE(INDEX(GroupVertices[Group],MATCH(Edges[[#This Row],[Vertex 2]],GroupVertices[Vertex],0)),1,1,"")</f>
        <v>1</v>
      </c>
      <c r="AH313" s="105"/>
      <c r="AI313" s="105"/>
      <c r="AJ313" s="105"/>
      <c r="AK313" s="105"/>
      <c r="AL313" s="105"/>
      <c r="AM313" s="105"/>
      <c r="AN313" s="105"/>
      <c r="AO313" s="105"/>
      <c r="AP313" s="105"/>
    </row>
    <row r="314" spans="1:42" ht="15">
      <c r="A314" s="61" t="s">
        <v>514</v>
      </c>
      <c r="B314" s="61" t="s">
        <v>651</v>
      </c>
      <c r="C314" s="62" t="s">
        <v>2891</v>
      </c>
      <c r="D314" s="63">
        <v>5</v>
      </c>
      <c r="E314" s="62"/>
      <c r="F314" s="65">
        <v>25</v>
      </c>
      <c r="G314" s="62"/>
      <c r="H314" s="66"/>
      <c r="I314" s="67"/>
      <c r="J314" s="67"/>
      <c r="K314" s="31" t="s">
        <v>65</v>
      </c>
      <c r="L314" s="68">
        <v>314</v>
      </c>
      <c r="M314" s="68"/>
      <c r="N314" s="69"/>
      <c r="O314" s="84" t="s">
        <v>653</v>
      </c>
      <c r="P314" s="84" t="s">
        <v>215</v>
      </c>
      <c r="Q314" s="88" t="s">
        <v>965</v>
      </c>
      <c r="R314" s="84" t="s">
        <v>514</v>
      </c>
      <c r="S314" s="84" t="s">
        <v>1352</v>
      </c>
      <c r="T314" s="90" t="str">
        <f>HYPERLINK("http://www.youtube.com/channel/UCYPe4POgVRRWe_8qSya6icA")</f>
        <v>http://www.youtube.com/channel/UCYPe4POgVRRWe_8qSya6icA</v>
      </c>
      <c r="U314" s="84"/>
      <c r="V314" s="84" t="s">
        <v>1488</v>
      </c>
      <c r="W314" s="90" t="str">
        <f>HYPERLINK("https://www.youtube.com/watch?v=f9psILoYmCc")</f>
        <v>https://www.youtube.com/watch?v=f9psILoYmCc</v>
      </c>
      <c r="X314" s="84" t="s">
        <v>1537</v>
      </c>
      <c r="Y314" s="84">
        <v>0</v>
      </c>
      <c r="Z314" s="93">
        <v>43020.55674768519</v>
      </c>
      <c r="AA314" s="93">
        <v>43020.55674768519</v>
      </c>
      <c r="AB314" s="84"/>
      <c r="AC314" s="84"/>
      <c r="AD314" s="88" t="s">
        <v>1874</v>
      </c>
      <c r="AE314" s="86">
        <v>1</v>
      </c>
      <c r="AF314" s="87" t="str">
        <f>REPLACE(INDEX(GroupVertices[Group],MATCH(Edges[[#This Row],[Vertex 1]],GroupVertices[Vertex],0)),1,1,"")</f>
        <v>1</v>
      </c>
      <c r="AG314" s="87" t="str">
        <f>REPLACE(INDEX(GroupVertices[Group],MATCH(Edges[[#This Row],[Vertex 2]],GroupVertices[Vertex],0)),1,1,"")</f>
        <v>1</v>
      </c>
      <c r="AH314" s="105"/>
      <c r="AI314" s="105"/>
      <c r="AJ314" s="105"/>
      <c r="AK314" s="105"/>
      <c r="AL314" s="105"/>
      <c r="AM314" s="105"/>
      <c r="AN314" s="105"/>
      <c r="AO314" s="105"/>
      <c r="AP314" s="105"/>
    </row>
    <row r="315" spans="1:42" ht="15">
      <c r="A315" s="61" t="s">
        <v>515</v>
      </c>
      <c r="B315" s="61" t="s">
        <v>651</v>
      </c>
      <c r="C315" s="62" t="s">
        <v>2891</v>
      </c>
      <c r="D315" s="63">
        <v>5</v>
      </c>
      <c r="E315" s="62"/>
      <c r="F315" s="65">
        <v>25</v>
      </c>
      <c r="G315" s="62"/>
      <c r="H315" s="66"/>
      <c r="I315" s="67"/>
      <c r="J315" s="67"/>
      <c r="K315" s="31" t="s">
        <v>65</v>
      </c>
      <c r="L315" s="68">
        <v>315</v>
      </c>
      <c r="M315" s="68"/>
      <c r="N315" s="69"/>
      <c r="O315" s="84" t="s">
        <v>653</v>
      </c>
      <c r="P315" s="84" t="s">
        <v>215</v>
      </c>
      <c r="Q315" s="88" t="s">
        <v>966</v>
      </c>
      <c r="R315" s="84" t="s">
        <v>515</v>
      </c>
      <c r="S315" s="84" t="s">
        <v>1353</v>
      </c>
      <c r="T315" s="90" t="str">
        <f>HYPERLINK("http://www.youtube.com/channel/UCNJDdl-gwaLn_3gZOLI24Yg")</f>
        <v>http://www.youtube.com/channel/UCNJDdl-gwaLn_3gZOLI24Yg</v>
      </c>
      <c r="U315" s="84"/>
      <c r="V315" s="84" t="s">
        <v>1488</v>
      </c>
      <c r="W315" s="90" t="str">
        <f>HYPERLINK("https://www.youtube.com/watch?v=f9psILoYmCc")</f>
        <v>https://www.youtube.com/watch?v=f9psILoYmCc</v>
      </c>
      <c r="X315" s="84" t="s">
        <v>1537</v>
      </c>
      <c r="Y315" s="84">
        <v>0</v>
      </c>
      <c r="Z315" s="93">
        <v>43051.66615740741</v>
      </c>
      <c r="AA315" s="93">
        <v>43051.66615740741</v>
      </c>
      <c r="AB315" s="84"/>
      <c r="AC315" s="84"/>
      <c r="AD315" s="88" t="s">
        <v>1874</v>
      </c>
      <c r="AE315" s="86">
        <v>1</v>
      </c>
      <c r="AF315" s="87" t="str">
        <f>REPLACE(INDEX(GroupVertices[Group],MATCH(Edges[[#This Row],[Vertex 1]],GroupVertices[Vertex],0)),1,1,"")</f>
        <v>1</v>
      </c>
      <c r="AG315" s="87" t="str">
        <f>REPLACE(INDEX(GroupVertices[Group],MATCH(Edges[[#This Row],[Vertex 2]],GroupVertices[Vertex],0)),1,1,"")</f>
        <v>1</v>
      </c>
      <c r="AH315" s="105"/>
      <c r="AI315" s="105"/>
      <c r="AJ315" s="105"/>
      <c r="AK315" s="105"/>
      <c r="AL315" s="105"/>
      <c r="AM315" s="105"/>
      <c r="AN315" s="105"/>
      <c r="AO315" s="105"/>
      <c r="AP315" s="105"/>
    </row>
    <row r="316" spans="1:42" ht="15">
      <c r="A316" s="61" t="s">
        <v>516</v>
      </c>
      <c r="B316" s="61" t="s">
        <v>651</v>
      </c>
      <c r="C316" s="62" t="s">
        <v>2891</v>
      </c>
      <c r="D316" s="63">
        <v>5</v>
      </c>
      <c r="E316" s="62"/>
      <c r="F316" s="65">
        <v>25</v>
      </c>
      <c r="G316" s="62"/>
      <c r="H316" s="66"/>
      <c r="I316" s="67"/>
      <c r="J316" s="67"/>
      <c r="K316" s="31" t="s">
        <v>65</v>
      </c>
      <c r="L316" s="68">
        <v>316</v>
      </c>
      <c r="M316" s="68"/>
      <c r="N316" s="69"/>
      <c r="O316" s="84" t="s">
        <v>653</v>
      </c>
      <c r="P316" s="84" t="s">
        <v>215</v>
      </c>
      <c r="Q316" s="88" t="s">
        <v>967</v>
      </c>
      <c r="R316" s="84" t="s">
        <v>516</v>
      </c>
      <c r="S316" s="84" t="s">
        <v>1354</v>
      </c>
      <c r="T316" s="90" t="str">
        <f>HYPERLINK("http://www.youtube.com/channel/UCqs2IRNBY00Yhb3n-lxDR3Q")</f>
        <v>http://www.youtube.com/channel/UCqs2IRNBY00Yhb3n-lxDR3Q</v>
      </c>
      <c r="U316" s="84"/>
      <c r="V316" s="84" t="s">
        <v>1488</v>
      </c>
      <c r="W316" s="90" t="str">
        <f>HYPERLINK("https://www.youtube.com/watch?v=f9psILoYmCc")</f>
        <v>https://www.youtube.com/watch?v=f9psILoYmCc</v>
      </c>
      <c r="X316" s="84" t="s">
        <v>1537</v>
      </c>
      <c r="Y316" s="84">
        <v>0</v>
      </c>
      <c r="Z316" s="93">
        <v>43081.29481481481</v>
      </c>
      <c r="AA316" s="93">
        <v>43081.29481481481</v>
      </c>
      <c r="AB316" s="84"/>
      <c r="AC316" s="84"/>
      <c r="AD316" s="88" t="s">
        <v>1874</v>
      </c>
      <c r="AE316" s="86">
        <v>1</v>
      </c>
      <c r="AF316" s="87" t="str">
        <f>REPLACE(INDEX(GroupVertices[Group],MATCH(Edges[[#This Row],[Vertex 1]],GroupVertices[Vertex],0)),1,1,"")</f>
        <v>1</v>
      </c>
      <c r="AG316" s="87" t="str">
        <f>REPLACE(INDEX(GroupVertices[Group],MATCH(Edges[[#This Row],[Vertex 2]],GroupVertices[Vertex],0)),1,1,"")</f>
        <v>1</v>
      </c>
      <c r="AH316" s="105"/>
      <c r="AI316" s="105"/>
      <c r="AJ316" s="105"/>
      <c r="AK316" s="105"/>
      <c r="AL316" s="105"/>
      <c r="AM316" s="105"/>
      <c r="AN316" s="105"/>
      <c r="AO316" s="105"/>
      <c r="AP316" s="105"/>
    </row>
    <row r="317" spans="1:42" ht="15">
      <c r="A317" s="61" t="s">
        <v>517</v>
      </c>
      <c r="B317" s="61" t="s">
        <v>651</v>
      </c>
      <c r="C317" s="62" t="s">
        <v>2891</v>
      </c>
      <c r="D317" s="63">
        <v>5</v>
      </c>
      <c r="E317" s="62"/>
      <c r="F317" s="65">
        <v>25</v>
      </c>
      <c r="G317" s="62"/>
      <c r="H317" s="66"/>
      <c r="I317" s="67"/>
      <c r="J317" s="67"/>
      <c r="K317" s="31" t="s">
        <v>65</v>
      </c>
      <c r="L317" s="68">
        <v>317</v>
      </c>
      <c r="M317" s="68"/>
      <c r="N317" s="69"/>
      <c r="O317" s="84" t="s">
        <v>653</v>
      </c>
      <c r="P317" s="84" t="s">
        <v>215</v>
      </c>
      <c r="Q317" s="88" t="s">
        <v>968</v>
      </c>
      <c r="R317" s="84" t="s">
        <v>517</v>
      </c>
      <c r="S317" s="84" t="s">
        <v>1355</v>
      </c>
      <c r="T317" s="90" t="str">
        <f>HYPERLINK("http://www.youtube.com/channel/UCnJOxdh9U6M8F3ibqdotENg")</f>
        <v>http://www.youtube.com/channel/UCnJOxdh9U6M8F3ibqdotENg</v>
      </c>
      <c r="U317" s="84"/>
      <c r="V317" s="84" t="s">
        <v>1488</v>
      </c>
      <c r="W317" s="90" t="str">
        <f>HYPERLINK("https://www.youtube.com/watch?v=f9psILoYmCc")</f>
        <v>https://www.youtube.com/watch?v=f9psILoYmCc</v>
      </c>
      <c r="X317" s="84" t="s">
        <v>1537</v>
      </c>
      <c r="Y317" s="84">
        <v>0</v>
      </c>
      <c r="Z317" s="93">
        <v>43081.511655092596</v>
      </c>
      <c r="AA317" s="93">
        <v>43081.511655092596</v>
      </c>
      <c r="AB317" s="84"/>
      <c r="AC317" s="84"/>
      <c r="AD317" s="88" t="s">
        <v>1874</v>
      </c>
      <c r="AE317" s="86">
        <v>1</v>
      </c>
      <c r="AF317" s="87" t="str">
        <f>REPLACE(INDEX(GroupVertices[Group],MATCH(Edges[[#This Row],[Vertex 1]],GroupVertices[Vertex],0)),1,1,"")</f>
        <v>1</v>
      </c>
      <c r="AG317" s="87" t="str">
        <f>REPLACE(INDEX(GroupVertices[Group],MATCH(Edges[[#This Row],[Vertex 2]],GroupVertices[Vertex],0)),1,1,"")</f>
        <v>1</v>
      </c>
      <c r="AH317" s="105"/>
      <c r="AI317" s="105"/>
      <c r="AJ317" s="105"/>
      <c r="AK317" s="105"/>
      <c r="AL317" s="105"/>
      <c r="AM317" s="105"/>
      <c r="AN317" s="105"/>
      <c r="AO317" s="105"/>
      <c r="AP317" s="105"/>
    </row>
    <row r="318" spans="1:42" ht="15">
      <c r="A318" s="61" t="s">
        <v>518</v>
      </c>
      <c r="B318" s="61" t="s">
        <v>651</v>
      </c>
      <c r="C318" s="62" t="s">
        <v>2891</v>
      </c>
      <c r="D318" s="63">
        <v>5</v>
      </c>
      <c r="E318" s="62"/>
      <c r="F318" s="65">
        <v>25</v>
      </c>
      <c r="G318" s="62"/>
      <c r="H318" s="66"/>
      <c r="I318" s="67"/>
      <c r="J318" s="67"/>
      <c r="K318" s="31" t="s">
        <v>65</v>
      </c>
      <c r="L318" s="68">
        <v>318</v>
      </c>
      <c r="M318" s="68"/>
      <c r="N318" s="69"/>
      <c r="O318" s="84" t="s">
        <v>653</v>
      </c>
      <c r="P318" s="84" t="s">
        <v>215</v>
      </c>
      <c r="Q318" s="88" t="s">
        <v>969</v>
      </c>
      <c r="R318" s="84" t="s">
        <v>518</v>
      </c>
      <c r="S318" s="84" t="s">
        <v>1356</v>
      </c>
      <c r="T318" s="90" t="str">
        <f>HYPERLINK("http://www.youtube.com/channel/UC-IU_nk6SBCCHXrw62-ueOg")</f>
        <v>http://www.youtube.com/channel/UC-IU_nk6SBCCHXrw62-ueOg</v>
      </c>
      <c r="U318" s="84"/>
      <c r="V318" s="84" t="s">
        <v>1488</v>
      </c>
      <c r="W318" s="90" t="str">
        <f>HYPERLINK("https://www.youtube.com/watch?v=f9psILoYmCc")</f>
        <v>https://www.youtube.com/watch?v=f9psILoYmCc</v>
      </c>
      <c r="X318" s="84" t="s">
        <v>1537</v>
      </c>
      <c r="Y318" s="84">
        <v>0</v>
      </c>
      <c r="Z318" s="84" t="s">
        <v>1722</v>
      </c>
      <c r="AA318" s="84" t="s">
        <v>1722</v>
      </c>
      <c r="AB318" s="84"/>
      <c r="AC318" s="84"/>
      <c r="AD318" s="88" t="s">
        <v>1874</v>
      </c>
      <c r="AE318" s="86">
        <v>1</v>
      </c>
      <c r="AF318" s="87" t="str">
        <f>REPLACE(INDEX(GroupVertices[Group],MATCH(Edges[[#This Row],[Vertex 1]],GroupVertices[Vertex],0)),1,1,"")</f>
        <v>1</v>
      </c>
      <c r="AG318" s="87" t="str">
        <f>REPLACE(INDEX(GroupVertices[Group],MATCH(Edges[[#This Row],[Vertex 2]],GroupVertices[Vertex],0)),1,1,"")</f>
        <v>1</v>
      </c>
      <c r="AH318" s="105"/>
      <c r="AI318" s="105"/>
      <c r="AJ318" s="105"/>
      <c r="AK318" s="105"/>
      <c r="AL318" s="105"/>
      <c r="AM318" s="105"/>
      <c r="AN318" s="105"/>
      <c r="AO318" s="105"/>
      <c r="AP318" s="105"/>
    </row>
    <row r="319" spans="1:42" ht="15">
      <c r="A319" s="61" t="s">
        <v>519</v>
      </c>
      <c r="B319" s="61" t="s">
        <v>651</v>
      </c>
      <c r="C319" s="62" t="s">
        <v>2891</v>
      </c>
      <c r="D319" s="63">
        <v>5</v>
      </c>
      <c r="E319" s="62"/>
      <c r="F319" s="65">
        <v>25</v>
      </c>
      <c r="G319" s="62"/>
      <c r="H319" s="66"/>
      <c r="I319" s="67"/>
      <c r="J319" s="67"/>
      <c r="K319" s="31" t="s">
        <v>65</v>
      </c>
      <c r="L319" s="68">
        <v>319</v>
      </c>
      <c r="M319" s="68"/>
      <c r="N319" s="69"/>
      <c r="O319" s="84" t="s">
        <v>653</v>
      </c>
      <c r="P319" s="84" t="s">
        <v>215</v>
      </c>
      <c r="Q319" s="88" t="s">
        <v>970</v>
      </c>
      <c r="R319" s="84" t="s">
        <v>519</v>
      </c>
      <c r="S319" s="84" t="s">
        <v>1357</v>
      </c>
      <c r="T319" s="90" t="str">
        <f>HYPERLINK("http://www.youtube.com/channel/UCwYanttysUnCQjanU4pZAuQ")</f>
        <v>http://www.youtube.com/channel/UCwYanttysUnCQjanU4pZAuQ</v>
      </c>
      <c r="U319" s="84"/>
      <c r="V319" s="84" t="s">
        <v>1488</v>
      </c>
      <c r="W319" s="90" t="str">
        <f>HYPERLINK("https://www.youtube.com/watch?v=f9psILoYmCc")</f>
        <v>https://www.youtube.com/watch?v=f9psILoYmCc</v>
      </c>
      <c r="X319" s="84" t="s">
        <v>1537</v>
      </c>
      <c r="Y319" s="84">
        <v>1</v>
      </c>
      <c r="Z319" s="84" t="s">
        <v>1723</v>
      </c>
      <c r="AA319" s="84" t="s">
        <v>1723</v>
      </c>
      <c r="AB319" s="84"/>
      <c r="AC319" s="84"/>
      <c r="AD319" s="88" t="s">
        <v>1874</v>
      </c>
      <c r="AE319" s="86">
        <v>1</v>
      </c>
      <c r="AF319" s="87" t="str">
        <f>REPLACE(INDEX(GroupVertices[Group],MATCH(Edges[[#This Row],[Vertex 1]],GroupVertices[Vertex],0)),1,1,"")</f>
        <v>1</v>
      </c>
      <c r="AG319" s="87" t="str">
        <f>REPLACE(INDEX(GroupVertices[Group],MATCH(Edges[[#This Row],[Vertex 2]],GroupVertices[Vertex],0)),1,1,"")</f>
        <v>1</v>
      </c>
      <c r="AH319" s="105"/>
      <c r="AI319" s="105"/>
      <c r="AJ319" s="105"/>
      <c r="AK319" s="105"/>
      <c r="AL319" s="105"/>
      <c r="AM319" s="105"/>
      <c r="AN319" s="105"/>
      <c r="AO319" s="105"/>
      <c r="AP319" s="105"/>
    </row>
    <row r="320" spans="1:42" ht="15">
      <c r="A320" s="61" t="s">
        <v>520</v>
      </c>
      <c r="B320" s="61" t="s">
        <v>651</v>
      </c>
      <c r="C320" s="62" t="s">
        <v>2891</v>
      </c>
      <c r="D320" s="63">
        <v>5</v>
      </c>
      <c r="E320" s="62"/>
      <c r="F320" s="65">
        <v>25</v>
      </c>
      <c r="G320" s="62"/>
      <c r="H320" s="66"/>
      <c r="I320" s="67"/>
      <c r="J320" s="67"/>
      <c r="K320" s="31" t="s">
        <v>65</v>
      </c>
      <c r="L320" s="68">
        <v>320</v>
      </c>
      <c r="M320" s="68"/>
      <c r="N320" s="69"/>
      <c r="O320" s="84" t="s">
        <v>653</v>
      </c>
      <c r="P320" s="84" t="s">
        <v>215</v>
      </c>
      <c r="Q320" s="88" t="s">
        <v>971</v>
      </c>
      <c r="R320" s="84" t="s">
        <v>520</v>
      </c>
      <c r="S320" s="84" t="s">
        <v>1358</v>
      </c>
      <c r="T320" s="90" t="str">
        <f>HYPERLINK("http://www.youtube.com/channel/UCTVqbHSHONbBLNOgfXh9LvA")</f>
        <v>http://www.youtube.com/channel/UCTVqbHSHONbBLNOgfXh9LvA</v>
      </c>
      <c r="U320" s="84"/>
      <c r="V320" s="84" t="s">
        <v>1488</v>
      </c>
      <c r="W320" s="90" t="str">
        <f>HYPERLINK("https://www.youtube.com/watch?v=f9psILoYmCc")</f>
        <v>https://www.youtube.com/watch?v=f9psILoYmCc</v>
      </c>
      <c r="X320" s="84" t="s">
        <v>1537</v>
      </c>
      <c r="Y320" s="84">
        <v>0</v>
      </c>
      <c r="Z320" s="84" t="s">
        <v>1724</v>
      </c>
      <c r="AA320" s="84" t="s">
        <v>1724</v>
      </c>
      <c r="AB320" s="84"/>
      <c r="AC320" s="84"/>
      <c r="AD320" s="88" t="s">
        <v>1874</v>
      </c>
      <c r="AE320" s="86">
        <v>1</v>
      </c>
      <c r="AF320" s="87" t="str">
        <f>REPLACE(INDEX(GroupVertices[Group],MATCH(Edges[[#This Row],[Vertex 1]],GroupVertices[Vertex],0)),1,1,"")</f>
        <v>1</v>
      </c>
      <c r="AG320" s="87" t="str">
        <f>REPLACE(INDEX(GroupVertices[Group],MATCH(Edges[[#This Row],[Vertex 2]],GroupVertices[Vertex],0)),1,1,"")</f>
        <v>1</v>
      </c>
      <c r="AH320" s="105"/>
      <c r="AI320" s="105"/>
      <c r="AJ320" s="105"/>
      <c r="AK320" s="105"/>
      <c r="AL320" s="105"/>
      <c r="AM320" s="105"/>
      <c r="AN320" s="105"/>
      <c r="AO320" s="105"/>
      <c r="AP320" s="105"/>
    </row>
    <row r="321" spans="1:42" ht="15">
      <c r="A321" s="61" t="s">
        <v>521</v>
      </c>
      <c r="B321" s="61" t="s">
        <v>651</v>
      </c>
      <c r="C321" s="62" t="s">
        <v>2891</v>
      </c>
      <c r="D321" s="63">
        <v>5</v>
      </c>
      <c r="E321" s="62"/>
      <c r="F321" s="65">
        <v>25</v>
      </c>
      <c r="G321" s="62"/>
      <c r="H321" s="66"/>
      <c r="I321" s="67"/>
      <c r="J321" s="67"/>
      <c r="K321" s="31" t="s">
        <v>65</v>
      </c>
      <c r="L321" s="68">
        <v>321</v>
      </c>
      <c r="M321" s="68"/>
      <c r="N321" s="69"/>
      <c r="O321" s="84" t="s">
        <v>653</v>
      </c>
      <c r="P321" s="84" t="s">
        <v>215</v>
      </c>
      <c r="Q321" s="88" t="s">
        <v>972</v>
      </c>
      <c r="R321" s="84" t="s">
        <v>521</v>
      </c>
      <c r="S321" s="84" t="s">
        <v>1359</v>
      </c>
      <c r="T321" s="90" t="str">
        <f>HYPERLINK("http://www.youtube.com/channel/UCaOB3gXheV8mJJBBlW4Ejlw")</f>
        <v>http://www.youtube.com/channel/UCaOB3gXheV8mJJBBlW4Ejlw</v>
      </c>
      <c r="U321" s="84"/>
      <c r="V321" s="84" t="s">
        <v>1488</v>
      </c>
      <c r="W321" s="90" t="str">
        <f>HYPERLINK("https://www.youtube.com/watch?v=f9psILoYmCc")</f>
        <v>https://www.youtube.com/watch?v=f9psILoYmCc</v>
      </c>
      <c r="X321" s="84" t="s">
        <v>1537</v>
      </c>
      <c r="Y321" s="84">
        <v>1</v>
      </c>
      <c r="Z321" s="84" t="s">
        <v>1725</v>
      </c>
      <c r="AA321" s="84" t="s">
        <v>1725</v>
      </c>
      <c r="AB321" s="84"/>
      <c r="AC321" s="84"/>
      <c r="AD321" s="88" t="s">
        <v>1874</v>
      </c>
      <c r="AE321" s="86">
        <v>1</v>
      </c>
      <c r="AF321" s="87" t="str">
        <f>REPLACE(INDEX(GroupVertices[Group],MATCH(Edges[[#This Row],[Vertex 1]],GroupVertices[Vertex],0)),1,1,"")</f>
        <v>1</v>
      </c>
      <c r="AG321" s="87" t="str">
        <f>REPLACE(INDEX(GroupVertices[Group],MATCH(Edges[[#This Row],[Vertex 2]],GroupVertices[Vertex],0)),1,1,"")</f>
        <v>1</v>
      </c>
      <c r="AH321" s="105"/>
      <c r="AI321" s="105"/>
      <c r="AJ321" s="105"/>
      <c r="AK321" s="105"/>
      <c r="AL321" s="105"/>
      <c r="AM321" s="105"/>
      <c r="AN321" s="105"/>
      <c r="AO321" s="105"/>
      <c r="AP321" s="105"/>
    </row>
    <row r="322" spans="1:42" ht="15">
      <c r="A322" s="61" t="s">
        <v>522</v>
      </c>
      <c r="B322" s="61" t="s">
        <v>651</v>
      </c>
      <c r="C322" s="62" t="s">
        <v>2891</v>
      </c>
      <c r="D322" s="63">
        <v>5</v>
      </c>
      <c r="E322" s="62"/>
      <c r="F322" s="65">
        <v>25</v>
      </c>
      <c r="G322" s="62"/>
      <c r="H322" s="66"/>
      <c r="I322" s="67"/>
      <c r="J322" s="67"/>
      <c r="K322" s="31" t="s">
        <v>65</v>
      </c>
      <c r="L322" s="68">
        <v>322</v>
      </c>
      <c r="M322" s="68"/>
      <c r="N322" s="69"/>
      <c r="O322" s="84" t="s">
        <v>653</v>
      </c>
      <c r="P322" s="84" t="s">
        <v>215</v>
      </c>
      <c r="Q322" s="88" t="s">
        <v>973</v>
      </c>
      <c r="R322" s="84" t="s">
        <v>522</v>
      </c>
      <c r="S322" s="84" t="s">
        <v>1360</v>
      </c>
      <c r="T322" s="90" t="str">
        <f>HYPERLINK("http://www.youtube.com/channel/UCBuKzEJfU-dwjJ-a95Oce1w")</f>
        <v>http://www.youtube.com/channel/UCBuKzEJfU-dwjJ-a95Oce1w</v>
      </c>
      <c r="U322" s="84"/>
      <c r="V322" s="84" t="s">
        <v>1488</v>
      </c>
      <c r="W322" s="90" t="str">
        <f>HYPERLINK("https://www.youtube.com/watch?v=f9psILoYmCc")</f>
        <v>https://www.youtube.com/watch?v=f9psILoYmCc</v>
      </c>
      <c r="X322" s="84" t="s">
        <v>1537</v>
      </c>
      <c r="Y322" s="84">
        <v>0</v>
      </c>
      <c r="Z322" s="84" t="s">
        <v>1726</v>
      </c>
      <c r="AA322" s="84" t="s">
        <v>1726</v>
      </c>
      <c r="AB322" s="84"/>
      <c r="AC322" s="84"/>
      <c r="AD322" s="88" t="s">
        <v>1874</v>
      </c>
      <c r="AE322" s="86">
        <v>1</v>
      </c>
      <c r="AF322" s="87" t="str">
        <f>REPLACE(INDEX(GroupVertices[Group],MATCH(Edges[[#This Row],[Vertex 1]],GroupVertices[Vertex],0)),1,1,"")</f>
        <v>1</v>
      </c>
      <c r="AG322" s="87" t="str">
        <f>REPLACE(INDEX(GroupVertices[Group],MATCH(Edges[[#This Row],[Vertex 2]],GroupVertices[Vertex],0)),1,1,"")</f>
        <v>1</v>
      </c>
      <c r="AH322" s="105"/>
      <c r="AI322" s="105"/>
      <c r="AJ322" s="105"/>
      <c r="AK322" s="105"/>
      <c r="AL322" s="105"/>
      <c r="AM322" s="105"/>
      <c r="AN322" s="105"/>
      <c r="AO322" s="105"/>
      <c r="AP322" s="105"/>
    </row>
    <row r="323" spans="1:42" ht="15">
      <c r="A323" s="61" t="s">
        <v>523</v>
      </c>
      <c r="B323" s="61" t="s">
        <v>651</v>
      </c>
      <c r="C323" s="62" t="s">
        <v>2891</v>
      </c>
      <c r="D323" s="63">
        <v>5</v>
      </c>
      <c r="E323" s="62"/>
      <c r="F323" s="65">
        <v>25</v>
      </c>
      <c r="G323" s="62"/>
      <c r="H323" s="66"/>
      <c r="I323" s="67"/>
      <c r="J323" s="67"/>
      <c r="K323" s="31" t="s">
        <v>65</v>
      </c>
      <c r="L323" s="68">
        <v>323</v>
      </c>
      <c r="M323" s="68"/>
      <c r="N323" s="69"/>
      <c r="O323" s="84" t="s">
        <v>653</v>
      </c>
      <c r="P323" s="84" t="s">
        <v>215</v>
      </c>
      <c r="Q323" s="88" t="s">
        <v>974</v>
      </c>
      <c r="R323" s="84" t="s">
        <v>523</v>
      </c>
      <c r="S323" s="84" t="s">
        <v>1361</v>
      </c>
      <c r="T323" s="90" t="str">
        <f>HYPERLINK("http://www.youtube.com/channel/UCEXmDqJvYC_RgnVp7AuLWWQ")</f>
        <v>http://www.youtube.com/channel/UCEXmDqJvYC_RgnVp7AuLWWQ</v>
      </c>
      <c r="U323" s="84"/>
      <c r="V323" s="84" t="s">
        <v>1488</v>
      </c>
      <c r="W323" s="90" t="str">
        <f>HYPERLINK("https://www.youtube.com/watch?v=f9psILoYmCc")</f>
        <v>https://www.youtube.com/watch?v=f9psILoYmCc</v>
      </c>
      <c r="X323" s="84" t="s">
        <v>1537</v>
      </c>
      <c r="Y323" s="84">
        <v>0</v>
      </c>
      <c r="Z323" s="84" t="s">
        <v>1727</v>
      </c>
      <c r="AA323" s="84" t="s">
        <v>1727</v>
      </c>
      <c r="AB323" s="84"/>
      <c r="AC323" s="84"/>
      <c r="AD323" s="88" t="s">
        <v>1874</v>
      </c>
      <c r="AE323" s="86">
        <v>1</v>
      </c>
      <c r="AF323" s="87" t="str">
        <f>REPLACE(INDEX(GroupVertices[Group],MATCH(Edges[[#This Row],[Vertex 1]],GroupVertices[Vertex],0)),1,1,"")</f>
        <v>1</v>
      </c>
      <c r="AG323" s="87" t="str">
        <f>REPLACE(INDEX(GroupVertices[Group],MATCH(Edges[[#This Row],[Vertex 2]],GroupVertices[Vertex],0)),1,1,"")</f>
        <v>1</v>
      </c>
      <c r="AH323" s="105"/>
      <c r="AI323" s="105"/>
      <c r="AJ323" s="105"/>
      <c r="AK323" s="105"/>
      <c r="AL323" s="105"/>
      <c r="AM323" s="105"/>
      <c r="AN323" s="105"/>
      <c r="AO323" s="105"/>
      <c r="AP323" s="105"/>
    </row>
    <row r="324" spans="1:42" ht="15">
      <c r="A324" s="61" t="s">
        <v>524</v>
      </c>
      <c r="B324" s="61" t="s">
        <v>651</v>
      </c>
      <c r="C324" s="62" t="s">
        <v>2891</v>
      </c>
      <c r="D324" s="63">
        <v>5</v>
      </c>
      <c r="E324" s="62"/>
      <c r="F324" s="65">
        <v>25</v>
      </c>
      <c r="G324" s="62"/>
      <c r="H324" s="66"/>
      <c r="I324" s="67"/>
      <c r="J324" s="67"/>
      <c r="K324" s="31" t="s">
        <v>65</v>
      </c>
      <c r="L324" s="68">
        <v>324</v>
      </c>
      <c r="M324" s="68"/>
      <c r="N324" s="69"/>
      <c r="O324" s="84" t="s">
        <v>653</v>
      </c>
      <c r="P324" s="84" t="s">
        <v>215</v>
      </c>
      <c r="Q324" s="88" t="s">
        <v>975</v>
      </c>
      <c r="R324" s="84" t="s">
        <v>524</v>
      </c>
      <c r="S324" s="84" t="s">
        <v>1362</v>
      </c>
      <c r="T324" s="90" t="str">
        <f>HYPERLINK("http://www.youtube.com/channel/UCfyuzGbP0p6NT9yBIYbCoxQ")</f>
        <v>http://www.youtube.com/channel/UCfyuzGbP0p6NT9yBIYbCoxQ</v>
      </c>
      <c r="U324" s="84"/>
      <c r="V324" s="84" t="s">
        <v>1488</v>
      </c>
      <c r="W324" s="90" t="str">
        <f>HYPERLINK("https://www.youtube.com/watch?v=f9psILoYmCc")</f>
        <v>https://www.youtube.com/watch?v=f9psILoYmCc</v>
      </c>
      <c r="X324" s="84" t="s">
        <v>1537</v>
      </c>
      <c r="Y324" s="84">
        <v>6</v>
      </c>
      <c r="Z324" s="84" t="s">
        <v>1728</v>
      </c>
      <c r="AA324" s="84" t="s">
        <v>1728</v>
      </c>
      <c r="AB324" s="84"/>
      <c r="AC324" s="84"/>
      <c r="AD324" s="88" t="s">
        <v>1874</v>
      </c>
      <c r="AE324" s="86">
        <v>1</v>
      </c>
      <c r="AF324" s="87" t="str">
        <f>REPLACE(INDEX(GroupVertices[Group],MATCH(Edges[[#This Row],[Vertex 1]],GroupVertices[Vertex],0)),1,1,"")</f>
        <v>1</v>
      </c>
      <c r="AG324" s="87" t="str">
        <f>REPLACE(INDEX(GroupVertices[Group],MATCH(Edges[[#This Row],[Vertex 2]],GroupVertices[Vertex],0)),1,1,"")</f>
        <v>1</v>
      </c>
      <c r="AH324" s="105"/>
      <c r="AI324" s="105"/>
      <c r="AJ324" s="105"/>
      <c r="AK324" s="105"/>
      <c r="AL324" s="105"/>
      <c r="AM324" s="105"/>
      <c r="AN324" s="105"/>
      <c r="AO324" s="105"/>
      <c r="AP324" s="105"/>
    </row>
    <row r="325" spans="1:42" ht="15">
      <c r="A325" s="61" t="s">
        <v>525</v>
      </c>
      <c r="B325" s="61" t="s">
        <v>651</v>
      </c>
      <c r="C325" s="62" t="s">
        <v>2891</v>
      </c>
      <c r="D325" s="63">
        <v>5</v>
      </c>
      <c r="E325" s="62"/>
      <c r="F325" s="65">
        <v>25</v>
      </c>
      <c r="G325" s="62"/>
      <c r="H325" s="66"/>
      <c r="I325" s="67"/>
      <c r="J325" s="67"/>
      <c r="K325" s="31" t="s">
        <v>65</v>
      </c>
      <c r="L325" s="68">
        <v>325</v>
      </c>
      <c r="M325" s="68"/>
      <c r="N325" s="69"/>
      <c r="O325" s="84" t="s">
        <v>653</v>
      </c>
      <c r="P325" s="84" t="s">
        <v>215</v>
      </c>
      <c r="Q325" s="88" t="s">
        <v>976</v>
      </c>
      <c r="R325" s="84" t="s">
        <v>525</v>
      </c>
      <c r="S325" s="84" t="s">
        <v>1363</v>
      </c>
      <c r="T325" s="90" t="str">
        <f>HYPERLINK("http://www.youtube.com/channel/UCF0UVK4yc7X4wiN6m64vcxA")</f>
        <v>http://www.youtube.com/channel/UCF0UVK4yc7X4wiN6m64vcxA</v>
      </c>
      <c r="U325" s="84"/>
      <c r="V325" s="84" t="s">
        <v>1488</v>
      </c>
      <c r="W325" s="90" t="str">
        <f>HYPERLINK("https://www.youtube.com/watch?v=f9psILoYmCc")</f>
        <v>https://www.youtube.com/watch?v=f9psILoYmCc</v>
      </c>
      <c r="X325" s="84" t="s">
        <v>1537</v>
      </c>
      <c r="Y325" s="84">
        <v>1</v>
      </c>
      <c r="Z325" s="84" t="s">
        <v>1729</v>
      </c>
      <c r="AA325" s="84" t="s">
        <v>1729</v>
      </c>
      <c r="AB325" s="84"/>
      <c r="AC325" s="84"/>
      <c r="AD325" s="88" t="s">
        <v>1874</v>
      </c>
      <c r="AE325" s="86">
        <v>1</v>
      </c>
      <c r="AF325" s="87" t="str">
        <f>REPLACE(INDEX(GroupVertices[Group],MATCH(Edges[[#This Row],[Vertex 1]],GroupVertices[Vertex],0)),1,1,"")</f>
        <v>1</v>
      </c>
      <c r="AG325" s="87" t="str">
        <f>REPLACE(INDEX(GroupVertices[Group],MATCH(Edges[[#This Row],[Vertex 2]],GroupVertices[Vertex],0)),1,1,"")</f>
        <v>1</v>
      </c>
      <c r="AH325" s="105"/>
      <c r="AI325" s="105"/>
      <c r="AJ325" s="105"/>
      <c r="AK325" s="105"/>
      <c r="AL325" s="105"/>
      <c r="AM325" s="105"/>
      <c r="AN325" s="105"/>
      <c r="AO325" s="105"/>
      <c r="AP325" s="105"/>
    </row>
    <row r="326" spans="1:42" ht="15">
      <c r="A326" s="61" t="s">
        <v>526</v>
      </c>
      <c r="B326" s="61" t="s">
        <v>651</v>
      </c>
      <c r="C326" s="62" t="s">
        <v>2891</v>
      </c>
      <c r="D326" s="63">
        <v>5</v>
      </c>
      <c r="E326" s="62"/>
      <c r="F326" s="65">
        <v>25</v>
      </c>
      <c r="G326" s="62"/>
      <c r="H326" s="66"/>
      <c r="I326" s="67"/>
      <c r="J326" s="67"/>
      <c r="K326" s="31" t="s">
        <v>65</v>
      </c>
      <c r="L326" s="68">
        <v>326</v>
      </c>
      <c r="M326" s="68"/>
      <c r="N326" s="69"/>
      <c r="O326" s="84" t="s">
        <v>653</v>
      </c>
      <c r="P326" s="84" t="s">
        <v>215</v>
      </c>
      <c r="Q326" s="88" t="s">
        <v>977</v>
      </c>
      <c r="R326" s="84" t="s">
        <v>526</v>
      </c>
      <c r="S326" s="84" t="s">
        <v>1364</v>
      </c>
      <c r="T326" s="90" t="str">
        <f>HYPERLINK("http://www.youtube.com/channel/UC6kGI215AvnHfUDlJm611og")</f>
        <v>http://www.youtube.com/channel/UC6kGI215AvnHfUDlJm611og</v>
      </c>
      <c r="U326" s="84"/>
      <c r="V326" s="84" t="s">
        <v>1488</v>
      </c>
      <c r="W326" s="90" t="str">
        <f>HYPERLINK("https://www.youtube.com/watch?v=f9psILoYmCc")</f>
        <v>https://www.youtube.com/watch?v=f9psILoYmCc</v>
      </c>
      <c r="X326" s="84" t="s">
        <v>1537</v>
      </c>
      <c r="Y326" s="84">
        <v>2</v>
      </c>
      <c r="Z326" s="84" t="s">
        <v>1730</v>
      </c>
      <c r="AA326" s="84" t="s">
        <v>1730</v>
      </c>
      <c r="AB326" s="84"/>
      <c r="AC326" s="84"/>
      <c r="AD326" s="88" t="s">
        <v>1874</v>
      </c>
      <c r="AE326" s="86">
        <v>1</v>
      </c>
      <c r="AF326" s="87" t="str">
        <f>REPLACE(INDEX(GroupVertices[Group],MATCH(Edges[[#This Row],[Vertex 1]],GroupVertices[Vertex],0)),1,1,"")</f>
        <v>1</v>
      </c>
      <c r="AG326" s="87" t="str">
        <f>REPLACE(INDEX(GroupVertices[Group],MATCH(Edges[[#This Row],[Vertex 2]],GroupVertices[Vertex],0)),1,1,"")</f>
        <v>1</v>
      </c>
      <c r="AH326" s="105"/>
      <c r="AI326" s="105"/>
      <c r="AJ326" s="105"/>
      <c r="AK326" s="105"/>
      <c r="AL326" s="105"/>
      <c r="AM326" s="105"/>
      <c r="AN326" s="105"/>
      <c r="AO326" s="105"/>
      <c r="AP326" s="105"/>
    </row>
    <row r="327" spans="1:42" ht="15">
      <c r="A327" s="61" t="s">
        <v>527</v>
      </c>
      <c r="B327" s="61" t="s">
        <v>651</v>
      </c>
      <c r="C327" s="62" t="s">
        <v>2891</v>
      </c>
      <c r="D327" s="63">
        <v>5</v>
      </c>
      <c r="E327" s="62"/>
      <c r="F327" s="65">
        <v>25</v>
      </c>
      <c r="G327" s="62"/>
      <c r="H327" s="66"/>
      <c r="I327" s="67"/>
      <c r="J327" s="67"/>
      <c r="K327" s="31" t="s">
        <v>65</v>
      </c>
      <c r="L327" s="68">
        <v>327</v>
      </c>
      <c r="M327" s="68"/>
      <c r="N327" s="69"/>
      <c r="O327" s="84" t="s">
        <v>653</v>
      </c>
      <c r="P327" s="84" t="s">
        <v>215</v>
      </c>
      <c r="Q327" s="88" t="s">
        <v>978</v>
      </c>
      <c r="R327" s="84" t="s">
        <v>527</v>
      </c>
      <c r="S327" s="84" t="s">
        <v>1365</v>
      </c>
      <c r="T327" s="90" t="str">
        <f>HYPERLINK("http://www.youtube.com/channel/UCrY4L4pW87pg33kdbb5vaog")</f>
        <v>http://www.youtube.com/channel/UCrY4L4pW87pg33kdbb5vaog</v>
      </c>
      <c r="U327" s="84"/>
      <c r="V327" s="84" t="s">
        <v>1488</v>
      </c>
      <c r="W327" s="90" t="str">
        <f>HYPERLINK("https://www.youtube.com/watch?v=f9psILoYmCc")</f>
        <v>https://www.youtube.com/watch?v=f9psILoYmCc</v>
      </c>
      <c r="X327" s="84" t="s">
        <v>1537</v>
      </c>
      <c r="Y327" s="84">
        <v>2</v>
      </c>
      <c r="Z327" s="84" t="s">
        <v>1731</v>
      </c>
      <c r="AA327" s="84" t="s">
        <v>1731</v>
      </c>
      <c r="AB327" s="84"/>
      <c r="AC327" s="84"/>
      <c r="AD327" s="88" t="s">
        <v>1874</v>
      </c>
      <c r="AE327" s="86">
        <v>1</v>
      </c>
      <c r="AF327" s="87" t="str">
        <f>REPLACE(INDEX(GroupVertices[Group],MATCH(Edges[[#This Row],[Vertex 1]],GroupVertices[Vertex],0)),1,1,"")</f>
        <v>1</v>
      </c>
      <c r="AG327" s="87" t="str">
        <f>REPLACE(INDEX(GroupVertices[Group],MATCH(Edges[[#This Row],[Vertex 2]],GroupVertices[Vertex],0)),1,1,"")</f>
        <v>1</v>
      </c>
      <c r="AH327" s="105"/>
      <c r="AI327" s="105"/>
      <c r="AJ327" s="105"/>
      <c r="AK327" s="105"/>
      <c r="AL327" s="105"/>
      <c r="AM327" s="105"/>
      <c r="AN327" s="105"/>
      <c r="AO327" s="105"/>
      <c r="AP327" s="105"/>
    </row>
    <row r="328" spans="1:42" ht="15">
      <c r="A328" s="61" t="s">
        <v>528</v>
      </c>
      <c r="B328" s="61" t="s">
        <v>651</v>
      </c>
      <c r="C328" s="62" t="s">
        <v>2891</v>
      </c>
      <c r="D328" s="63">
        <v>5</v>
      </c>
      <c r="E328" s="62"/>
      <c r="F328" s="65">
        <v>25</v>
      </c>
      <c r="G328" s="62"/>
      <c r="H328" s="66"/>
      <c r="I328" s="67"/>
      <c r="J328" s="67"/>
      <c r="K328" s="31" t="s">
        <v>65</v>
      </c>
      <c r="L328" s="68">
        <v>328</v>
      </c>
      <c r="M328" s="68"/>
      <c r="N328" s="69"/>
      <c r="O328" s="84" t="s">
        <v>653</v>
      </c>
      <c r="P328" s="84" t="s">
        <v>215</v>
      </c>
      <c r="Q328" s="88" t="s">
        <v>979</v>
      </c>
      <c r="R328" s="84" t="s">
        <v>528</v>
      </c>
      <c r="S328" s="84" t="s">
        <v>1366</v>
      </c>
      <c r="T328" s="90" t="str">
        <f>HYPERLINK("http://www.youtube.com/channel/UCdJEjJHAOKNloHads92QMig")</f>
        <v>http://www.youtube.com/channel/UCdJEjJHAOKNloHads92QMig</v>
      </c>
      <c r="U328" s="84"/>
      <c r="V328" s="84" t="s">
        <v>1488</v>
      </c>
      <c r="W328" s="90" t="str">
        <f>HYPERLINK("https://www.youtube.com/watch?v=f9psILoYmCc")</f>
        <v>https://www.youtube.com/watch?v=f9psILoYmCc</v>
      </c>
      <c r="X328" s="84" t="s">
        <v>1537</v>
      </c>
      <c r="Y328" s="84">
        <v>0</v>
      </c>
      <c r="Z328" s="84" t="s">
        <v>1732</v>
      </c>
      <c r="AA328" s="84" t="s">
        <v>1732</v>
      </c>
      <c r="AB328" s="84"/>
      <c r="AC328" s="84"/>
      <c r="AD328" s="88" t="s">
        <v>1874</v>
      </c>
      <c r="AE328" s="86">
        <v>1</v>
      </c>
      <c r="AF328" s="87" t="str">
        <f>REPLACE(INDEX(GroupVertices[Group],MATCH(Edges[[#This Row],[Vertex 1]],GroupVertices[Vertex],0)),1,1,"")</f>
        <v>1</v>
      </c>
      <c r="AG328" s="87" t="str">
        <f>REPLACE(INDEX(GroupVertices[Group],MATCH(Edges[[#This Row],[Vertex 2]],GroupVertices[Vertex],0)),1,1,"")</f>
        <v>1</v>
      </c>
      <c r="AH328" s="105"/>
      <c r="AI328" s="105"/>
      <c r="AJ328" s="105"/>
      <c r="AK328" s="105"/>
      <c r="AL328" s="105"/>
      <c r="AM328" s="105"/>
      <c r="AN328" s="105"/>
      <c r="AO328" s="105"/>
      <c r="AP328" s="105"/>
    </row>
    <row r="329" spans="1:42" ht="15">
      <c r="A329" s="61" t="s">
        <v>529</v>
      </c>
      <c r="B329" s="61" t="s">
        <v>651</v>
      </c>
      <c r="C329" s="62" t="s">
        <v>2891</v>
      </c>
      <c r="D329" s="63">
        <v>5</v>
      </c>
      <c r="E329" s="62"/>
      <c r="F329" s="65">
        <v>25</v>
      </c>
      <c r="G329" s="62"/>
      <c r="H329" s="66"/>
      <c r="I329" s="67"/>
      <c r="J329" s="67"/>
      <c r="K329" s="31" t="s">
        <v>65</v>
      </c>
      <c r="L329" s="68">
        <v>329</v>
      </c>
      <c r="M329" s="68"/>
      <c r="N329" s="69"/>
      <c r="O329" s="84" t="s">
        <v>653</v>
      </c>
      <c r="P329" s="84" t="s">
        <v>215</v>
      </c>
      <c r="Q329" s="88" t="s">
        <v>980</v>
      </c>
      <c r="R329" s="84" t="s">
        <v>529</v>
      </c>
      <c r="S329" s="84" t="s">
        <v>1367</v>
      </c>
      <c r="T329" s="90" t="str">
        <f>HYPERLINK("http://www.youtube.com/channel/UCl9hlbEHvU9S1JLZbYll5gQ")</f>
        <v>http://www.youtube.com/channel/UCl9hlbEHvU9S1JLZbYll5gQ</v>
      </c>
      <c r="U329" s="84"/>
      <c r="V329" s="84" t="s">
        <v>1488</v>
      </c>
      <c r="W329" s="90" t="str">
        <f>HYPERLINK("https://www.youtube.com/watch?v=f9psILoYmCc")</f>
        <v>https://www.youtube.com/watch?v=f9psILoYmCc</v>
      </c>
      <c r="X329" s="84" t="s">
        <v>1537</v>
      </c>
      <c r="Y329" s="84">
        <v>1</v>
      </c>
      <c r="Z329" s="84" t="s">
        <v>1733</v>
      </c>
      <c r="AA329" s="84" t="s">
        <v>1733</v>
      </c>
      <c r="AB329" s="84"/>
      <c r="AC329" s="84"/>
      <c r="AD329" s="88" t="s">
        <v>1874</v>
      </c>
      <c r="AE329" s="86">
        <v>1</v>
      </c>
      <c r="AF329" s="87" t="str">
        <f>REPLACE(INDEX(GroupVertices[Group],MATCH(Edges[[#This Row],[Vertex 1]],GroupVertices[Vertex],0)),1,1,"")</f>
        <v>1</v>
      </c>
      <c r="AG329" s="87" t="str">
        <f>REPLACE(INDEX(GroupVertices[Group],MATCH(Edges[[#This Row],[Vertex 2]],GroupVertices[Vertex],0)),1,1,"")</f>
        <v>1</v>
      </c>
      <c r="AH329" s="105"/>
      <c r="AI329" s="105"/>
      <c r="AJ329" s="105"/>
      <c r="AK329" s="105"/>
      <c r="AL329" s="105"/>
      <c r="AM329" s="105"/>
      <c r="AN329" s="105"/>
      <c r="AO329" s="105"/>
      <c r="AP329" s="105"/>
    </row>
    <row r="330" spans="1:42" ht="15">
      <c r="A330" s="61" t="s">
        <v>530</v>
      </c>
      <c r="B330" s="61" t="s">
        <v>651</v>
      </c>
      <c r="C330" s="62" t="s">
        <v>2891</v>
      </c>
      <c r="D330" s="63">
        <v>5</v>
      </c>
      <c r="E330" s="62"/>
      <c r="F330" s="65">
        <v>25</v>
      </c>
      <c r="G330" s="62"/>
      <c r="H330" s="66"/>
      <c r="I330" s="67"/>
      <c r="J330" s="67"/>
      <c r="K330" s="31" t="s">
        <v>65</v>
      </c>
      <c r="L330" s="68">
        <v>330</v>
      </c>
      <c r="M330" s="68"/>
      <c r="N330" s="69"/>
      <c r="O330" s="84" t="s">
        <v>653</v>
      </c>
      <c r="P330" s="84" t="s">
        <v>215</v>
      </c>
      <c r="Q330" s="88" t="s">
        <v>981</v>
      </c>
      <c r="R330" s="84" t="s">
        <v>530</v>
      </c>
      <c r="S330" s="84" t="s">
        <v>1368</v>
      </c>
      <c r="T330" s="90" t="str">
        <f>HYPERLINK("http://www.youtube.com/channel/UCozlZQSrRkZcnbQDc5mSKLw")</f>
        <v>http://www.youtube.com/channel/UCozlZQSrRkZcnbQDc5mSKLw</v>
      </c>
      <c r="U330" s="84"/>
      <c r="V330" s="84" t="s">
        <v>1488</v>
      </c>
      <c r="W330" s="90" t="str">
        <f>HYPERLINK("https://www.youtube.com/watch?v=f9psILoYmCc")</f>
        <v>https://www.youtube.com/watch?v=f9psILoYmCc</v>
      </c>
      <c r="X330" s="84" t="s">
        <v>1537</v>
      </c>
      <c r="Y330" s="84">
        <v>0</v>
      </c>
      <c r="Z330" s="84" t="s">
        <v>1734</v>
      </c>
      <c r="AA330" s="84" t="s">
        <v>1734</v>
      </c>
      <c r="AB330" s="84"/>
      <c r="AC330" s="84"/>
      <c r="AD330" s="88" t="s">
        <v>1874</v>
      </c>
      <c r="AE330" s="86">
        <v>1</v>
      </c>
      <c r="AF330" s="87" t="str">
        <f>REPLACE(INDEX(GroupVertices[Group],MATCH(Edges[[#This Row],[Vertex 1]],GroupVertices[Vertex],0)),1,1,"")</f>
        <v>1</v>
      </c>
      <c r="AG330" s="87" t="str">
        <f>REPLACE(INDEX(GroupVertices[Group],MATCH(Edges[[#This Row],[Vertex 2]],GroupVertices[Vertex],0)),1,1,"")</f>
        <v>1</v>
      </c>
      <c r="AH330" s="105"/>
      <c r="AI330" s="105"/>
      <c r="AJ330" s="105"/>
      <c r="AK330" s="105"/>
      <c r="AL330" s="105"/>
      <c r="AM330" s="105"/>
      <c r="AN330" s="105"/>
      <c r="AO330" s="105"/>
      <c r="AP330" s="105"/>
    </row>
    <row r="331" spans="1:42" ht="15">
      <c r="A331" s="61" t="s">
        <v>531</v>
      </c>
      <c r="B331" s="61" t="s">
        <v>651</v>
      </c>
      <c r="C331" s="62" t="s">
        <v>2891</v>
      </c>
      <c r="D331" s="63">
        <v>5</v>
      </c>
      <c r="E331" s="62"/>
      <c r="F331" s="65">
        <v>25</v>
      </c>
      <c r="G331" s="62"/>
      <c r="H331" s="66"/>
      <c r="I331" s="67"/>
      <c r="J331" s="67"/>
      <c r="K331" s="31" t="s">
        <v>65</v>
      </c>
      <c r="L331" s="68">
        <v>331</v>
      </c>
      <c r="M331" s="68"/>
      <c r="N331" s="69"/>
      <c r="O331" s="84" t="s">
        <v>653</v>
      </c>
      <c r="P331" s="84" t="s">
        <v>215</v>
      </c>
      <c r="Q331" s="88" t="s">
        <v>982</v>
      </c>
      <c r="R331" s="84" t="s">
        <v>531</v>
      </c>
      <c r="S331" s="84" t="s">
        <v>1369</v>
      </c>
      <c r="T331" s="90" t="str">
        <f>HYPERLINK("http://www.youtube.com/channel/UCNPNx2B0UhAEQ88px0O-_0A")</f>
        <v>http://www.youtube.com/channel/UCNPNx2B0UhAEQ88px0O-_0A</v>
      </c>
      <c r="U331" s="84"/>
      <c r="V331" s="84" t="s">
        <v>1488</v>
      </c>
      <c r="W331" s="90" t="str">
        <f>HYPERLINK("https://www.youtube.com/watch?v=f9psILoYmCc")</f>
        <v>https://www.youtube.com/watch?v=f9psILoYmCc</v>
      </c>
      <c r="X331" s="84" t="s">
        <v>1537</v>
      </c>
      <c r="Y331" s="84">
        <v>1</v>
      </c>
      <c r="Z331" s="84" t="s">
        <v>1735</v>
      </c>
      <c r="AA331" s="84" t="s">
        <v>1735</v>
      </c>
      <c r="AB331" s="84"/>
      <c r="AC331" s="84"/>
      <c r="AD331" s="88" t="s">
        <v>1874</v>
      </c>
      <c r="AE331" s="86">
        <v>1</v>
      </c>
      <c r="AF331" s="87" t="str">
        <f>REPLACE(INDEX(GroupVertices[Group],MATCH(Edges[[#This Row],[Vertex 1]],GroupVertices[Vertex],0)),1,1,"")</f>
        <v>1</v>
      </c>
      <c r="AG331" s="87" t="str">
        <f>REPLACE(INDEX(GroupVertices[Group],MATCH(Edges[[#This Row],[Vertex 2]],GroupVertices[Vertex],0)),1,1,"")</f>
        <v>1</v>
      </c>
      <c r="AH331" s="105"/>
      <c r="AI331" s="105"/>
      <c r="AJ331" s="105"/>
      <c r="AK331" s="105"/>
      <c r="AL331" s="105"/>
      <c r="AM331" s="105"/>
      <c r="AN331" s="105"/>
      <c r="AO331" s="105"/>
      <c r="AP331" s="105"/>
    </row>
    <row r="332" spans="1:42" ht="15">
      <c r="A332" s="61" t="s">
        <v>532</v>
      </c>
      <c r="B332" s="61" t="s">
        <v>651</v>
      </c>
      <c r="C332" s="62" t="s">
        <v>2891</v>
      </c>
      <c r="D332" s="63">
        <v>5</v>
      </c>
      <c r="E332" s="62"/>
      <c r="F332" s="65">
        <v>25</v>
      </c>
      <c r="G332" s="62"/>
      <c r="H332" s="66"/>
      <c r="I332" s="67"/>
      <c r="J332" s="67"/>
      <c r="K332" s="31" t="s">
        <v>65</v>
      </c>
      <c r="L332" s="68">
        <v>332</v>
      </c>
      <c r="M332" s="68"/>
      <c r="N332" s="69"/>
      <c r="O332" s="84" t="s">
        <v>653</v>
      </c>
      <c r="P332" s="84" t="s">
        <v>215</v>
      </c>
      <c r="Q332" s="88" t="s">
        <v>983</v>
      </c>
      <c r="R332" s="84" t="s">
        <v>532</v>
      </c>
      <c r="S332" s="84" t="s">
        <v>1370</v>
      </c>
      <c r="T332" s="90" t="str">
        <f>HYPERLINK("http://www.youtube.com/channel/UCY6UK87WDx1BCOqv02hbYCw")</f>
        <v>http://www.youtube.com/channel/UCY6UK87WDx1BCOqv02hbYCw</v>
      </c>
      <c r="U332" s="84"/>
      <c r="V332" s="84" t="s">
        <v>1488</v>
      </c>
      <c r="W332" s="90" t="str">
        <f>HYPERLINK("https://www.youtube.com/watch?v=f9psILoYmCc")</f>
        <v>https://www.youtube.com/watch?v=f9psILoYmCc</v>
      </c>
      <c r="X332" s="84" t="s">
        <v>1537</v>
      </c>
      <c r="Y332" s="84">
        <v>0</v>
      </c>
      <c r="Z332" s="84" t="s">
        <v>1736</v>
      </c>
      <c r="AA332" s="84" t="s">
        <v>1736</v>
      </c>
      <c r="AB332" s="84"/>
      <c r="AC332" s="84"/>
      <c r="AD332" s="88" t="s">
        <v>1874</v>
      </c>
      <c r="AE332" s="86">
        <v>1</v>
      </c>
      <c r="AF332" s="87" t="str">
        <f>REPLACE(INDEX(GroupVertices[Group],MATCH(Edges[[#This Row],[Vertex 1]],GroupVertices[Vertex],0)),1,1,"")</f>
        <v>1</v>
      </c>
      <c r="AG332" s="87" t="str">
        <f>REPLACE(INDEX(GroupVertices[Group],MATCH(Edges[[#This Row],[Vertex 2]],GroupVertices[Vertex],0)),1,1,"")</f>
        <v>1</v>
      </c>
      <c r="AH332" s="105"/>
      <c r="AI332" s="105"/>
      <c r="AJ332" s="105"/>
      <c r="AK332" s="105"/>
      <c r="AL332" s="105"/>
      <c r="AM332" s="105"/>
      <c r="AN332" s="105"/>
      <c r="AO332" s="105"/>
      <c r="AP332" s="105"/>
    </row>
    <row r="333" spans="1:42" ht="15">
      <c r="A333" s="61" t="s">
        <v>533</v>
      </c>
      <c r="B333" s="61" t="s">
        <v>651</v>
      </c>
      <c r="C333" s="62" t="s">
        <v>2891</v>
      </c>
      <c r="D333" s="63">
        <v>5</v>
      </c>
      <c r="E333" s="62"/>
      <c r="F333" s="65">
        <v>25</v>
      </c>
      <c r="G333" s="62"/>
      <c r="H333" s="66"/>
      <c r="I333" s="67"/>
      <c r="J333" s="67"/>
      <c r="K333" s="31" t="s">
        <v>65</v>
      </c>
      <c r="L333" s="68">
        <v>333</v>
      </c>
      <c r="M333" s="68"/>
      <c r="N333" s="69"/>
      <c r="O333" s="84" t="s">
        <v>653</v>
      </c>
      <c r="P333" s="84" t="s">
        <v>215</v>
      </c>
      <c r="Q333" s="88" t="s">
        <v>984</v>
      </c>
      <c r="R333" s="84" t="s">
        <v>533</v>
      </c>
      <c r="S333" s="84" t="s">
        <v>1371</v>
      </c>
      <c r="T333" s="90" t="str">
        <f>HYPERLINK("http://www.youtube.com/channel/UC-RL5jQjADFaFnAC4GWwAcg")</f>
        <v>http://www.youtube.com/channel/UC-RL5jQjADFaFnAC4GWwAcg</v>
      </c>
      <c r="U333" s="84"/>
      <c r="V333" s="84" t="s">
        <v>1488</v>
      </c>
      <c r="W333" s="90" t="str">
        <f>HYPERLINK("https://www.youtube.com/watch?v=f9psILoYmCc")</f>
        <v>https://www.youtube.com/watch?v=f9psILoYmCc</v>
      </c>
      <c r="X333" s="84" t="s">
        <v>1537</v>
      </c>
      <c r="Y333" s="84">
        <v>1</v>
      </c>
      <c r="Z333" s="84" t="s">
        <v>1737</v>
      </c>
      <c r="AA333" s="84" t="s">
        <v>1737</v>
      </c>
      <c r="AB333" s="84"/>
      <c r="AC333" s="84"/>
      <c r="AD333" s="88" t="s">
        <v>1874</v>
      </c>
      <c r="AE333" s="86">
        <v>1</v>
      </c>
      <c r="AF333" s="87" t="str">
        <f>REPLACE(INDEX(GroupVertices[Group],MATCH(Edges[[#This Row],[Vertex 1]],GroupVertices[Vertex],0)),1,1,"")</f>
        <v>1</v>
      </c>
      <c r="AG333" s="87" t="str">
        <f>REPLACE(INDEX(GroupVertices[Group],MATCH(Edges[[#This Row],[Vertex 2]],GroupVertices[Vertex],0)),1,1,"")</f>
        <v>1</v>
      </c>
      <c r="AH333" s="105"/>
      <c r="AI333" s="105"/>
      <c r="AJ333" s="105"/>
      <c r="AK333" s="105"/>
      <c r="AL333" s="105"/>
      <c r="AM333" s="105"/>
      <c r="AN333" s="105"/>
      <c r="AO333" s="105"/>
      <c r="AP333" s="105"/>
    </row>
    <row r="334" spans="1:42" ht="15">
      <c r="A334" s="61" t="s">
        <v>534</v>
      </c>
      <c r="B334" s="61" t="s">
        <v>651</v>
      </c>
      <c r="C334" s="62" t="s">
        <v>2891</v>
      </c>
      <c r="D334" s="63">
        <v>5</v>
      </c>
      <c r="E334" s="62"/>
      <c r="F334" s="65">
        <v>25</v>
      </c>
      <c r="G334" s="62"/>
      <c r="H334" s="66"/>
      <c r="I334" s="67"/>
      <c r="J334" s="67"/>
      <c r="K334" s="31" t="s">
        <v>65</v>
      </c>
      <c r="L334" s="68">
        <v>334</v>
      </c>
      <c r="M334" s="68"/>
      <c r="N334" s="69"/>
      <c r="O334" s="84" t="s">
        <v>653</v>
      </c>
      <c r="P334" s="84" t="s">
        <v>215</v>
      </c>
      <c r="Q334" s="88" t="s">
        <v>985</v>
      </c>
      <c r="R334" s="84" t="s">
        <v>534</v>
      </c>
      <c r="S334" s="84" t="s">
        <v>1372</v>
      </c>
      <c r="T334" s="90" t="str">
        <f>HYPERLINK("http://www.youtube.com/channel/UCDAIeh3KzPXPzo5OcRgAZcQ")</f>
        <v>http://www.youtube.com/channel/UCDAIeh3KzPXPzo5OcRgAZcQ</v>
      </c>
      <c r="U334" s="84"/>
      <c r="V334" s="84" t="s">
        <v>1488</v>
      </c>
      <c r="W334" s="90" t="str">
        <f>HYPERLINK("https://www.youtube.com/watch?v=f9psILoYmCc")</f>
        <v>https://www.youtube.com/watch?v=f9psILoYmCc</v>
      </c>
      <c r="X334" s="84" t="s">
        <v>1537</v>
      </c>
      <c r="Y334" s="84">
        <v>0</v>
      </c>
      <c r="Z334" s="84" t="s">
        <v>1738</v>
      </c>
      <c r="AA334" s="84" t="s">
        <v>1738</v>
      </c>
      <c r="AB334" s="84"/>
      <c r="AC334" s="84"/>
      <c r="AD334" s="88" t="s">
        <v>1874</v>
      </c>
      <c r="AE334" s="86">
        <v>1</v>
      </c>
      <c r="AF334" s="87" t="str">
        <f>REPLACE(INDEX(GroupVertices[Group],MATCH(Edges[[#This Row],[Vertex 1]],GroupVertices[Vertex],0)),1,1,"")</f>
        <v>1</v>
      </c>
      <c r="AG334" s="87" t="str">
        <f>REPLACE(INDEX(GroupVertices[Group],MATCH(Edges[[#This Row],[Vertex 2]],GroupVertices[Vertex],0)),1,1,"")</f>
        <v>1</v>
      </c>
      <c r="AH334" s="105"/>
      <c r="AI334" s="105"/>
      <c r="AJ334" s="105"/>
      <c r="AK334" s="105"/>
      <c r="AL334" s="105"/>
      <c r="AM334" s="105"/>
      <c r="AN334" s="105"/>
      <c r="AO334" s="105"/>
      <c r="AP334" s="105"/>
    </row>
    <row r="335" spans="1:42" ht="15">
      <c r="A335" s="61" t="s">
        <v>535</v>
      </c>
      <c r="B335" s="61" t="s">
        <v>651</v>
      </c>
      <c r="C335" s="62" t="s">
        <v>2891</v>
      </c>
      <c r="D335" s="63">
        <v>5</v>
      </c>
      <c r="E335" s="62"/>
      <c r="F335" s="65">
        <v>25</v>
      </c>
      <c r="G335" s="62"/>
      <c r="H335" s="66"/>
      <c r="I335" s="67"/>
      <c r="J335" s="67"/>
      <c r="K335" s="31" t="s">
        <v>65</v>
      </c>
      <c r="L335" s="68">
        <v>335</v>
      </c>
      <c r="M335" s="68"/>
      <c r="N335" s="69"/>
      <c r="O335" s="84" t="s">
        <v>653</v>
      </c>
      <c r="P335" s="84" t="s">
        <v>215</v>
      </c>
      <c r="Q335" s="88" t="s">
        <v>986</v>
      </c>
      <c r="R335" s="84" t="s">
        <v>535</v>
      </c>
      <c r="S335" s="84" t="s">
        <v>1373</v>
      </c>
      <c r="T335" s="90" t="str">
        <f>HYPERLINK("http://www.youtube.com/channel/UCq4a-o6Z9bJ77at5WFkaT9A")</f>
        <v>http://www.youtube.com/channel/UCq4a-o6Z9bJ77at5WFkaT9A</v>
      </c>
      <c r="U335" s="84"/>
      <c r="V335" s="84" t="s">
        <v>1488</v>
      </c>
      <c r="W335" s="90" t="str">
        <f>HYPERLINK("https://www.youtube.com/watch?v=f9psILoYmCc")</f>
        <v>https://www.youtube.com/watch?v=f9psILoYmCc</v>
      </c>
      <c r="X335" s="84" t="s">
        <v>1537</v>
      </c>
      <c r="Y335" s="84">
        <v>0</v>
      </c>
      <c r="Z335" s="84" t="s">
        <v>1739</v>
      </c>
      <c r="AA335" s="84" t="s">
        <v>1739</v>
      </c>
      <c r="AB335" s="84"/>
      <c r="AC335" s="84"/>
      <c r="AD335" s="88" t="s">
        <v>1874</v>
      </c>
      <c r="AE335" s="86">
        <v>1</v>
      </c>
      <c r="AF335" s="87" t="str">
        <f>REPLACE(INDEX(GroupVertices[Group],MATCH(Edges[[#This Row],[Vertex 1]],GroupVertices[Vertex],0)),1,1,"")</f>
        <v>1</v>
      </c>
      <c r="AG335" s="87" t="str">
        <f>REPLACE(INDEX(GroupVertices[Group],MATCH(Edges[[#This Row],[Vertex 2]],GroupVertices[Vertex],0)),1,1,"")</f>
        <v>1</v>
      </c>
      <c r="AH335" s="105"/>
      <c r="AI335" s="105"/>
      <c r="AJ335" s="105"/>
      <c r="AK335" s="105"/>
      <c r="AL335" s="105"/>
      <c r="AM335" s="105"/>
      <c r="AN335" s="105"/>
      <c r="AO335" s="105"/>
      <c r="AP335" s="105"/>
    </row>
    <row r="336" spans="1:42" ht="15">
      <c r="A336" s="61" t="s">
        <v>536</v>
      </c>
      <c r="B336" s="61" t="s">
        <v>651</v>
      </c>
      <c r="C336" s="62" t="s">
        <v>2891</v>
      </c>
      <c r="D336" s="63">
        <v>5</v>
      </c>
      <c r="E336" s="62"/>
      <c r="F336" s="65">
        <v>25</v>
      </c>
      <c r="G336" s="62"/>
      <c r="H336" s="66"/>
      <c r="I336" s="67"/>
      <c r="J336" s="67"/>
      <c r="K336" s="31" t="s">
        <v>65</v>
      </c>
      <c r="L336" s="68">
        <v>336</v>
      </c>
      <c r="M336" s="68"/>
      <c r="N336" s="69"/>
      <c r="O336" s="84" t="s">
        <v>653</v>
      </c>
      <c r="P336" s="84" t="s">
        <v>215</v>
      </c>
      <c r="Q336" s="88" t="s">
        <v>987</v>
      </c>
      <c r="R336" s="84" t="s">
        <v>536</v>
      </c>
      <c r="S336" s="84" t="s">
        <v>1374</v>
      </c>
      <c r="T336" s="90" t="str">
        <f>HYPERLINK("http://www.youtube.com/channel/UCZ6_rB05TwzDg3eK71u41ew")</f>
        <v>http://www.youtube.com/channel/UCZ6_rB05TwzDg3eK71u41ew</v>
      </c>
      <c r="U336" s="84"/>
      <c r="V336" s="84" t="s">
        <v>1488</v>
      </c>
      <c r="W336" s="90" t="str">
        <f>HYPERLINK("https://www.youtube.com/watch?v=f9psILoYmCc")</f>
        <v>https://www.youtube.com/watch?v=f9psILoYmCc</v>
      </c>
      <c r="X336" s="84" t="s">
        <v>1537</v>
      </c>
      <c r="Y336" s="84">
        <v>1</v>
      </c>
      <c r="Z336" s="93">
        <v>43252.91486111111</v>
      </c>
      <c r="AA336" s="93">
        <v>43252.91486111111</v>
      </c>
      <c r="AB336" s="84"/>
      <c r="AC336" s="84"/>
      <c r="AD336" s="88" t="s">
        <v>1874</v>
      </c>
      <c r="AE336" s="86">
        <v>1</v>
      </c>
      <c r="AF336" s="87" t="str">
        <f>REPLACE(INDEX(GroupVertices[Group],MATCH(Edges[[#This Row],[Vertex 1]],GroupVertices[Vertex],0)),1,1,"")</f>
        <v>1</v>
      </c>
      <c r="AG336" s="87" t="str">
        <f>REPLACE(INDEX(GroupVertices[Group],MATCH(Edges[[#This Row],[Vertex 2]],GroupVertices[Vertex],0)),1,1,"")</f>
        <v>1</v>
      </c>
      <c r="AH336" s="105"/>
      <c r="AI336" s="105"/>
      <c r="AJ336" s="105"/>
      <c r="AK336" s="105"/>
      <c r="AL336" s="105"/>
      <c r="AM336" s="105"/>
      <c r="AN336" s="105"/>
      <c r="AO336" s="105"/>
      <c r="AP336" s="105"/>
    </row>
    <row r="337" spans="1:42" ht="15">
      <c r="A337" s="61" t="s">
        <v>537</v>
      </c>
      <c r="B337" s="61" t="s">
        <v>651</v>
      </c>
      <c r="C337" s="62" t="s">
        <v>2891</v>
      </c>
      <c r="D337" s="63">
        <v>5</v>
      </c>
      <c r="E337" s="62"/>
      <c r="F337" s="65">
        <v>25</v>
      </c>
      <c r="G337" s="62"/>
      <c r="H337" s="66"/>
      <c r="I337" s="67"/>
      <c r="J337" s="67"/>
      <c r="K337" s="31" t="s">
        <v>65</v>
      </c>
      <c r="L337" s="68">
        <v>337</v>
      </c>
      <c r="M337" s="68"/>
      <c r="N337" s="69"/>
      <c r="O337" s="84" t="s">
        <v>653</v>
      </c>
      <c r="P337" s="84" t="s">
        <v>215</v>
      </c>
      <c r="Q337" s="88" t="s">
        <v>988</v>
      </c>
      <c r="R337" s="84" t="s">
        <v>537</v>
      </c>
      <c r="S337" s="84" t="s">
        <v>1375</v>
      </c>
      <c r="T337" s="90" t="str">
        <f>HYPERLINK("http://www.youtube.com/channel/UCMkGFwQqmu1Hkre8dnT5CYg")</f>
        <v>http://www.youtube.com/channel/UCMkGFwQqmu1Hkre8dnT5CYg</v>
      </c>
      <c r="U337" s="84"/>
      <c r="V337" s="84" t="s">
        <v>1488</v>
      </c>
      <c r="W337" s="90" t="str">
        <f>HYPERLINK("https://www.youtube.com/watch?v=f9psILoYmCc")</f>
        <v>https://www.youtube.com/watch?v=f9psILoYmCc</v>
      </c>
      <c r="X337" s="84" t="s">
        <v>1537</v>
      </c>
      <c r="Y337" s="84">
        <v>3</v>
      </c>
      <c r="Z337" s="93">
        <v>43374.896099537036</v>
      </c>
      <c r="AA337" s="93">
        <v>43374.896099537036</v>
      </c>
      <c r="AB337" s="84"/>
      <c r="AC337" s="84"/>
      <c r="AD337" s="88" t="s">
        <v>1874</v>
      </c>
      <c r="AE337" s="86">
        <v>1</v>
      </c>
      <c r="AF337" s="87" t="str">
        <f>REPLACE(INDEX(GroupVertices[Group],MATCH(Edges[[#This Row],[Vertex 1]],GroupVertices[Vertex],0)),1,1,"")</f>
        <v>1</v>
      </c>
      <c r="AG337" s="87" t="str">
        <f>REPLACE(INDEX(GroupVertices[Group],MATCH(Edges[[#This Row],[Vertex 2]],GroupVertices[Vertex],0)),1,1,"")</f>
        <v>1</v>
      </c>
      <c r="AH337" s="105"/>
      <c r="AI337" s="105"/>
      <c r="AJ337" s="105"/>
      <c r="AK337" s="105"/>
      <c r="AL337" s="105"/>
      <c r="AM337" s="105"/>
      <c r="AN337" s="105"/>
      <c r="AO337" s="105"/>
      <c r="AP337" s="105"/>
    </row>
    <row r="338" spans="1:42" ht="15">
      <c r="A338" s="61" t="s">
        <v>538</v>
      </c>
      <c r="B338" s="61" t="s">
        <v>651</v>
      </c>
      <c r="C338" s="62" t="s">
        <v>2891</v>
      </c>
      <c r="D338" s="63">
        <v>5</v>
      </c>
      <c r="E338" s="62"/>
      <c r="F338" s="65">
        <v>25</v>
      </c>
      <c r="G338" s="62"/>
      <c r="H338" s="66"/>
      <c r="I338" s="67"/>
      <c r="J338" s="67"/>
      <c r="K338" s="31" t="s">
        <v>65</v>
      </c>
      <c r="L338" s="68">
        <v>338</v>
      </c>
      <c r="M338" s="68"/>
      <c r="N338" s="69"/>
      <c r="O338" s="84" t="s">
        <v>653</v>
      </c>
      <c r="P338" s="84" t="s">
        <v>215</v>
      </c>
      <c r="Q338" s="88" t="s">
        <v>989</v>
      </c>
      <c r="R338" s="84" t="s">
        <v>538</v>
      </c>
      <c r="S338" s="84" t="s">
        <v>1376</v>
      </c>
      <c r="T338" s="90" t="str">
        <f>HYPERLINK("http://www.youtube.com/channel/UCX9TCQsPxShraoMH0OkLlWg")</f>
        <v>http://www.youtube.com/channel/UCX9TCQsPxShraoMH0OkLlWg</v>
      </c>
      <c r="U338" s="84"/>
      <c r="V338" s="84" t="s">
        <v>1488</v>
      </c>
      <c r="W338" s="90" t="str">
        <f>HYPERLINK("https://www.youtube.com/watch?v=f9psILoYmCc")</f>
        <v>https://www.youtube.com/watch?v=f9psILoYmCc</v>
      </c>
      <c r="X338" s="84" t="s">
        <v>1537</v>
      </c>
      <c r="Y338" s="84">
        <v>92</v>
      </c>
      <c r="Z338" s="93">
        <v>43435.04111111111</v>
      </c>
      <c r="AA338" s="93">
        <v>43435.04111111111</v>
      </c>
      <c r="AB338" s="84" t="s">
        <v>1864</v>
      </c>
      <c r="AC338" s="84" t="s">
        <v>1869</v>
      </c>
      <c r="AD338" s="88" t="s">
        <v>1874</v>
      </c>
      <c r="AE338" s="86">
        <v>1</v>
      </c>
      <c r="AF338" s="87" t="str">
        <f>REPLACE(INDEX(GroupVertices[Group],MATCH(Edges[[#This Row],[Vertex 1]],GroupVertices[Vertex],0)),1,1,"")</f>
        <v>1</v>
      </c>
      <c r="AG338" s="87" t="str">
        <f>REPLACE(INDEX(GroupVertices[Group],MATCH(Edges[[#This Row],[Vertex 2]],GroupVertices[Vertex],0)),1,1,"")</f>
        <v>1</v>
      </c>
      <c r="AH338" s="105"/>
      <c r="AI338" s="105"/>
      <c r="AJ338" s="105"/>
      <c r="AK338" s="105"/>
      <c r="AL338" s="105"/>
      <c r="AM338" s="105"/>
      <c r="AN338" s="105"/>
      <c r="AO338" s="105"/>
      <c r="AP338" s="105"/>
    </row>
    <row r="339" spans="1:42" ht="15">
      <c r="A339" s="61" t="s">
        <v>539</v>
      </c>
      <c r="B339" s="61" t="s">
        <v>651</v>
      </c>
      <c r="C339" s="62" t="s">
        <v>2891</v>
      </c>
      <c r="D339" s="63">
        <v>5</v>
      </c>
      <c r="E339" s="62"/>
      <c r="F339" s="65">
        <v>25</v>
      </c>
      <c r="G339" s="62"/>
      <c r="H339" s="66"/>
      <c r="I339" s="67"/>
      <c r="J339" s="67"/>
      <c r="K339" s="31" t="s">
        <v>65</v>
      </c>
      <c r="L339" s="68">
        <v>339</v>
      </c>
      <c r="M339" s="68"/>
      <c r="N339" s="69"/>
      <c r="O339" s="84" t="s">
        <v>653</v>
      </c>
      <c r="P339" s="84" t="s">
        <v>215</v>
      </c>
      <c r="Q339" s="88" t="s">
        <v>990</v>
      </c>
      <c r="R339" s="84" t="s">
        <v>539</v>
      </c>
      <c r="S339" s="84" t="s">
        <v>1377</v>
      </c>
      <c r="T339" s="90" t="str">
        <f>HYPERLINK("http://www.youtube.com/channel/UCrjT8e3SIvaSwbMQcWbuOUQ")</f>
        <v>http://www.youtube.com/channel/UCrjT8e3SIvaSwbMQcWbuOUQ</v>
      </c>
      <c r="U339" s="84"/>
      <c r="V339" s="84" t="s">
        <v>1488</v>
      </c>
      <c r="W339" s="90" t="str">
        <f>HYPERLINK("https://www.youtube.com/watch?v=f9psILoYmCc")</f>
        <v>https://www.youtube.com/watch?v=f9psILoYmCc</v>
      </c>
      <c r="X339" s="84" t="s">
        <v>1537</v>
      </c>
      <c r="Y339" s="84">
        <v>133</v>
      </c>
      <c r="Z339" s="84" t="s">
        <v>1740</v>
      </c>
      <c r="AA339" s="84" t="s">
        <v>1740</v>
      </c>
      <c r="AB339" s="84"/>
      <c r="AC339" s="84"/>
      <c r="AD339" s="88" t="s">
        <v>1874</v>
      </c>
      <c r="AE339" s="86">
        <v>1</v>
      </c>
      <c r="AF339" s="87" t="str">
        <f>REPLACE(INDEX(GroupVertices[Group],MATCH(Edges[[#This Row],[Vertex 1]],GroupVertices[Vertex],0)),1,1,"")</f>
        <v>1</v>
      </c>
      <c r="AG339" s="87" t="str">
        <f>REPLACE(INDEX(GroupVertices[Group],MATCH(Edges[[#This Row],[Vertex 2]],GroupVertices[Vertex],0)),1,1,"")</f>
        <v>1</v>
      </c>
      <c r="AH339" s="105"/>
      <c r="AI339" s="105"/>
      <c r="AJ339" s="105"/>
      <c r="AK339" s="105"/>
      <c r="AL339" s="105"/>
      <c r="AM339" s="105"/>
      <c r="AN339" s="105"/>
      <c r="AO339" s="105"/>
      <c r="AP339" s="105"/>
    </row>
    <row r="340" spans="1:42" ht="15">
      <c r="A340" s="61" t="s">
        <v>540</v>
      </c>
      <c r="B340" s="61" t="s">
        <v>651</v>
      </c>
      <c r="C340" s="62" t="s">
        <v>2891</v>
      </c>
      <c r="D340" s="63">
        <v>5</v>
      </c>
      <c r="E340" s="62"/>
      <c r="F340" s="65">
        <v>25</v>
      </c>
      <c r="G340" s="62"/>
      <c r="H340" s="66"/>
      <c r="I340" s="67"/>
      <c r="J340" s="67"/>
      <c r="K340" s="31" t="s">
        <v>65</v>
      </c>
      <c r="L340" s="68">
        <v>340</v>
      </c>
      <c r="M340" s="68"/>
      <c r="N340" s="69"/>
      <c r="O340" s="84" t="s">
        <v>653</v>
      </c>
      <c r="P340" s="84" t="s">
        <v>215</v>
      </c>
      <c r="Q340" s="88" t="s">
        <v>991</v>
      </c>
      <c r="R340" s="84" t="s">
        <v>540</v>
      </c>
      <c r="S340" s="84" t="s">
        <v>1378</v>
      </c>
      <c r="T340" s="90" t="str">
        <f>HYPERLINK("http://www.youtube.com/channel/UC5I0tl9C4T9OA6u6k4rwH2Q")</f>
        <v>http://www.youtube.com/channel/UC5I0tl9C4T9OA6u6k4rwH2Q</v>
      </c>
      <c r="U340" s="84"/>
      <c r="V340" s="84" t="s">
        <v>1488</v>
      </c>
      <c r="W340" s="90" t="str">
        <f>HYPERLINK("https://www.youtube.com/watch?v=f9psILoYmCc")</f>
        <v>https://www.youtube.com/watch?v=f9psILoYmCc</v>
      </c>
      <c r="X340" s="84" t="s">
        <v>1537</v>
      </c>
      <c r="Y340" s="84">
        <v>1</v>
      </c>
      <c r="Z340" s="84" t="s">
        <v>1741</v>
      </c>
      <c r="AA340" s="84" t="s">
        <v>1741</v>
      </c>
      <c r="AB340" s="84"/>
      <c r="AC340" s="84"/>
      <c r="AD340" s="88" t="s">
        <v>1874</v>
      </c>
      <c r="AE340" s="86">
        <v>1</v>
      </c>
      <c r="AF340" s="87" t="str">
        <f>REPLACE(INDEX(GroupVertices[Group],MATCH(Edges[[#This Row],[Vertex 1]],GroupVertices[Vertex],0)),1,1,"")</f>
        <v>1</v>
      </c>
      <c r="AG340" s="87" t="str">
        <f>REPLACE(INDEX(GroupVertices[Group],MATCH(Edges[[#This Row],[Vertex 2]],GroupVertices[Vertex],0)),1,1,"")</f>
        <v>1</v>
      </c>
      <c r="AH340" s="105"/>
      <c r="AI340" s="105"/>
      <c r="AJ340" s="105"/>
      <c r="AK340" s="105"/>
      <c r="AL340" s="105"/>
      <c r="AM340" s="105"/>
      <c r="AN340" s="105"/>
      <c r="AO340" s="105"/>
      <c r="AP340" s="105"/>
    </row>
    <row r="341" spans="1:42" ht="15">
      <c r="A341" s="61" t="s">
        <v>541</v>
      </c>
      <c r="B341" s="61" t="s">
        <v>651</v>
      </c>
      <c r="C341" s="62" t="s">
        <v>2891</v>
      </c>
      <c r="D341" s="63">
        <v>5</v>
      </c>
      <c r="E341" s="62"/>
      <c r="F341" s="65">
        <v>25</v>
      </c>
      <c r="G341" s="62"/>
      <c r="H341" s="66"/>
      <c r="I341" s="67"/>
      <c r="J341" s="67"/>
      <c r="K341" s="31" t="s">
        <v>65</v>
      </c>
      <c r="L341" s="68">
        <v>341</v>
      </c>
      <c r="M341" s="68"/>
      <c r="N341" s="69"/>
      <c r="O341" s="84" t="s">
        <v>653</v>
      </c>
      <c r="P341" s="84" t="s">
        <v>215</v>
      </c>
      <c r="Q341" s="88" t="s">
        <v>992</v>
      </c>
      <c r="R341" s="84" t="s">
        <v>541</v>
      </c>
      <c r="S341" s="84" t="s">
        <v>1379</v>
      </c>
      <c r="T341" s="90" t="str">
        <f>HYPERLINK("http://www.youtube.com/channel/UCTYEENz1Rt7fDO3AEUyDV4A")</f>
        <v>http://www.youtube.com/channel/UCTYEENz1Rt7fDO3AEUyDV4A</v>
      </c>
      <c r="U341" s="84"/>
      <c r="V341" s="84" t="s">
        <v>1488</v>
      </c>
      <c r="W341" s="90" t="str">
        <f>HYPERLINK("https://www.youtube.com/watch?v=f9psILoYmCc")</f>
        <v>https://www.youtube.com/watch?v=f9psILoYmCc</v>
      </c>
      <c r="X341" s="84" t="s">
        <v>1537</v>
      </c>
      <c r="Y341" s="84">
        <v>4</v>
      </c>
      <c r="Z341" s="84" t="s">
        <v>1742</v>
      </c>
      <c r="AA341" s="84" t="s">
        <v>1742</v>
      </c>
      <c r="AB341" s="84"/>
      <c r="AC341" s="84"/>
      <c r="AD341" s="88" t="s">
        <v>1874</v>
      </c>
      <c r="AE341" s="86">
        <v>1</v>
      </c>
      <c r="AF341" s="87" t="str">
        <f>REPLACE(INDEX(GroupVertices[Group],MATCH(Edges[[#This Row],[Vertex 1]],GroupVertices[Vertex],0)),1,1,"")</f>
        <v>1</v>
      </c>
      <c r="AG341" s="87" t="str">
        <f>REPLACE(INDEX(GroupVertices[Group],MATCH(Edges[[#This Row],[Vertex 2]],GroupVertices[Vertex],0)),1,1,"")</f>
        <v>1</v>
      </c>
      <c r="AH341" s="105"/>
      <c r="AI341" s="105"/>
      <c r="AJ341" s="105"/>
      <c r="AK341" s="105"/>
      <c r="AL341" s="105"/>
      <c r="AM341" s="105"/>
      <c r="AN341" s="105"/>
      <c r="AO341" s="105"/>
      <c r="AP341" s="105"/>
    </row>
    <row r="342" spans="1:42" ht="15">
      <c r="A342" s="61" t="s">
        <v>542</v>
      </c>
      <c r="B342" s="61" t="s">
        <v>651</v>
      </c>
      <c r="C342" s="62" t="s">
        <v>2891</v>
      </c>
      <c r="D342" s="63">
        <v>5</v>
      </c>
      <c r="E342" s="62"/>
      <c r="F342" s="65">
        <v>25</v>
      </c>
      <c r="G342" s="62"/>
      <c r="H342" s="66"/>
      <c r="I342" s="67"/>
      <c r="J342" s="67"/>
      <c r="K342" s="31" t="s">
        <v>65</v>
      </c>
      <c r="L342" s="68">
        <v>342</v>
      </c>
      <c r="M342" s="68"/>
      <c r="N342" s="69"/>
      <c r="O342" s="84" t="s">
        <v>653</v>
      </c>
      <c r="P342" s="84" t="s">
        <v>215</v>
      </c>
      <c r="Q342" s="88" t="s">
        <v>993</v>
      </c>
      <c r="R342" s="84" t="s">
        <v>542</v>
      </c>
      <c r="S342" s="84" t="s">
        <v>1380</v>
      </c>
      <c r="T342" s="90" t="str">
        <f>HYPERLINK("http://www.youtube.com/channel/UC4sji85U43j1VMwEH1B_PHA")</f>
        <v>http://www.youtube.com/channel/UC4sji85U43j1VMwEH1B_PHA</v>
      </c>
      <c r="U342" s="84"/>
      <c r="V342" s="84" t="s">
        <v>1488</v>
      </c>
      <c r="W342" s="90" t="str">
        <f>HYPERLINK("https://www.youtube.com/watch?v=f9psILoYmCc")</f>
        <v>https://www.youtube.com/watch?v=f9psILoYmCc</v>
      </c>
      <c r="X342" s="84" t="s">
        <v>1537</v>
      </c>
      <c r="Y342" s="84">
        <v>3</v>
      </c>
      <c r="Z342" s="84" t="s">
        <v>1743</v>
      </c>
      <c r="AA342" s="84" t="s">
        <v>1743</v>
      </c>
      <c r="AB342" s="84"/>
      <c r="AC342" s="84"/>
      <c r="AD342" s="88" t="s">
        <v>1874</v>
      </c>
      <c r="AE342" s="86">
        <v>1</v>
      </c>
      <c r="AF342" s="87" t="str">
        <f>REPLACE(INDEX(GroupVertices[Group],MATCH(Edges[[#This Row],[Vertex 1]],GroupVertices[Vertex],0)),1,1,"")</f>
        <v>1</v>
      </c>
      <c r="AG342" s="87" t="str">
        <f>REPLACE(INDEX(GroupVertices[Group],MATCH(Edges[[#This Row],[Vertex 2]],GroupVertices[Vertex],0)),1,1,"")</f>
        <v>1</v>
      </c>
      <c r="AH342" s="105"/>
      <c r="AI342" s="105"/>
      <c r="AJ342" s="105"/>
      <c r="AK342" s="105"/>
      <c r="AL342" s="105"/>
      <c r="AM342" s="105"/>
      <c r="AN342" s="105"/>
      <c r="AO342" s="105"/>
      <c r="AP342" s="105"/>
    </row>
    <row r="343" spans="1:42" ht="15">
      <c r="A343" s="61" t="s">
        <v>543</v>
      </c>
      <c r="B343" s="61" t="s">
        <v>651</v>
      </c>
      <c r="C343" s="62" t="s">
        <v>2891</v>
      </c>
      <c r="D343" s="63">
        <v>5</v>
      </c>
      <c r="E343" s="62"/>
      <c r="F343" s="65">
        <v>25</v>
      </c>
      <c r="G343" s="62"/>
      <c r="H343" s="66"/>
      <c r="I343" s="67"/>
      <c r="J343" s="67"/>
      <c r="K343" s="31" t="s">
        <v>65</v>
      </c>
      <c r="L343" s="68">
        <v>343</v>
      </c>
      <c r="M343" s="68"/>
      <c r="N343" s="69"/>
      <c r="O343" s="84" t="s">
        <v>653</v>
      </c>
      <c r="P343" s="84" t="s">
        <v>215</v>
      </c>
      <c r="Q343" s="88" t="s">
        <v>994</v>
      </c>
      <c r="R343" s="84" t="s">
        <v>543</v>
      </c>
      <c r="S343" s="84" t="s">
        <v>1381</v>
      </c>
      <c r="T343" s="90" t="str">
        <f>HYPERLINK("http://www.youtube.com/channel/UCDxZ-M8cj_ZO2op4hiNeeUA")</f>
        <v>http://www.youtube.com/channel/UCDxZ-M8cj_ZO2op4hiNeeUA</v>
      </c>
      <c r="U343" s="84"/>
      <c r="V343" s="84" t="s">
        <v>1488</v>
      </c>
      <c r="W343" s="90" t="str">
        <f>HYPERLINK("https://www.youtube.com/watch?v=f9psILoYmCc")</f>
        <v>https://www.youtube.com/watch?v=f9psILoYmCc</v>
      </c>
      <c r="X343" s="84" t="s">
        <v>1537</v>
      </c>
      <c r="Y343" s="84">
        <v>0</v>
      </c>
      <c r="Z343" s="84" t="s">
        <v>1744</v>
      </c>
      <c r="AA343" s="84" t="s">
        <v>1744</v>
      </c>
      <c r="AB343" s="84"/>
      <c r="AC343" s="84"/>
      <c r="AD343" s="88" t="s">
        <v>1874</v>
      </c>
      <c r="AE343" s="86">
        <v>1</v>
      </c>
      <c r="AF343" s="87" t="str">
        <f>REPLACE(INDEX(GroupVertices[Group],MATCH(Edges[[#This Row],[Vertex 1]],GroupVertices[Vertex],0)),1,1,"")</f>
        <v>1</v>
      </c>
      <c r="AG343" s="87" t="str">
        <f>REPLACE(INDEX(GroupVertices[Group],MATCH(Edges[[#This Row],[Vertex 2]],GroupVertices[Vertex],0)),1,1,"")</f>
        <v>1</v>
      </c>
      <c r="AH343" s="105"/>
      <c r="AI343" s="105"/>
      <c r="AJ343" s="105"/>
      <c r="AK343" s="105"/>
      <c r="AL343" s="105"/>
      <c r="AM343" s="105"/>
      <c r="AN343" s="105"/>
      <c r="AO343" s="105"/>
      <c r="AP343" s="105"/>
    </row>
    <row r="344" spans="1:42" ht="15">
      <c r="A344" s="61" t="s">
        <v>544</v>
      </c>
      <c r="B344" s="61" t="s">
        <v>651</v>
      </c>
      <c r="C344" s="62" t="s">
        <v>2891</v>
      </c>
      <c r="D344" s="63">
        <v>5</v>
      </c>
      <c r="E344" s="62"/>
      <c r="F344" s="65">
        <v>25</v>
      </c>
      <c r="G344" s="62"/>
      <c r="H344" s="66"/>
      <c r="I344" s="67"/>
      <c r="J344" s="67"/>
      <c r="K344" s="31" t="s">
        <v>65</v>
      </c>
      <c r="L344" s="68">
        <v>344</v>
      </c>
      <c r="M344" s="68"/>
      <c r="N344" s="69"/>
      <c r="O344" s="84" t="s">
        <v>653</v>
      </c>
      <c r="P344" s="84" t="s">
        <v>215</v>
      </c>
      <c r="Q344" s="88" t="s">
        <v>995</v>
      </c>
      <c r="R344" s="84" t="s">
        <v>544</v>
      </c>
      <c r="S344" s="84" t="s">
        <v>1382</v>
      </c>
      <c r="T344" s="90" t="str">
        <f>HYPERLINK("http://www.youtube.com/channel/UCuquBisAuAQm-A1xOI9UeaA")</f>
        <v>http://www.youtube.com/channel/UCuquBisAuAQm-A1xOI9UeaA</v>
      </c>
      <c r="U344" s="84"/>
      <c r="V344" s="84" t="s">
        <v>1488</v>
      </c>
      <c r="W344" s="90" t="str">
        <f>HYPERLINK("https://www.youtube.com/watch?v=f9psILoYmCc")</f>
        <v>https://www.youtube.com/watch?v=f9psILoYmCc</v>
      </c>
      <c r="X344" s="84" t="s">
        <v>1537</v>
      </c>
      <c r="Y344" s="84">
        <v>0</v>
      </c>
      <c r="Z344" s="84" t="s">
        <v>1745</v>
      </c>
      <c r="AA344" s="84" t="s">
        <v>1745</v>
      </c>
      <c r="AB344" s="84"/>
      <c r="AC344" s="84"/>
      <c r="AD344" s="88" t="s">
        <v>1874</v>
      </c>
      <c r="AE344" s="86">
        <v>1</v>
      </c>
      <c r="AF344" s="87" t="str">
        <f>REPLACE(INDEX(GroupVertices[Group],MATCH(Edges[[#This Row],[Vertex 1]],GroupVertices[Vertex],0)),1,1,"")</f>
        <v>1</v>
      </c>
      <c r="AG344" s="87" t="str">
        <f>REPLACE(INDEX(GroupVertices[Group],MATCH(Edges[[#This Row],[Vertex 2]],GroupVertices[Vertex],0)),1,1,"")</f>
        <v>1</v>
      </c>
      <c r="AH344" s="105"/>
      <c r="AI344" s="105"/>
      <c r="AJ344" s="105"/>
      <c r="AK344" s="105"/>
      <c r="AL344" s="105"/>
      <c r="AM344" s="105"/>
      <c r="AN344" s="105"/>
      <c r="AO344" s="105"/>
      <c r="AP344" s="105"/>
    </row>
    <row r="345" spans="1:42" ht="15">
      <c r="A345" s="61" t="s">
        <v>545</v>
      </c>
      <c r="B345" s="61" t="s">
        <v>651</v>
      </c>
      <c r="C345" s="62" t="s">
        <v>2891</v>
      </c>
      <c r="D345" s="63">
        <v>5</v>
      </c>
      <c r="E345" s="62"/>
      <c r="F345" s="65">
        <v>25</v>
      </c>
      <c r="G345" s="62"/>
      <c r="H345" s="66"/>
      <c r="I345" s="67"/>
      <c r="J345" s="67"/>
      <c r="K345" s="31" t="s">
        <v>65</v>
      </c>
      <c r="L345" s="68">
        <v>345</v>
      </c>
      <c r="M345" s="68"/>
      <c r="N345" s="69"/>
      <c r="O345" s="84" t="s">
        <v>653</v>
      </c>
      <c r="P345" s="84" t="s">
        <v>215</v>
      </c>
      <c r="Q345" s="88" t="s">
        <v>996</v>
      </c>
      <c r="R345" s="84" t="s">
        <v>545</v>
      </c>
      <c r="S345" s="84" t="s">
        <v>1383</v>
      </c>
      <c r="T345" s="90" t="str">
        <f>HYPERLINK("http://www.youtube.com/channel/UC3bes6p33iWgxZFbTM9ux-Q")</f>
        <v>http://www.youtube.com/channel/UC3bes6p33iWgxZFbTM9ux-Q</v>
      </c>
      <c r="U345" s="84"/>
      <c r="V345" s="84" t="s">
        <v>1488</v>
      </c>
      <c r="W345" s="90" t="str">
        <f>HYPERLINK("https://www.youtube.com/watch?v=f9psILoYmCc")</f>
        <v>https://www.youtube.com/watch?v=f9psILoYmCc</v>
      </c>
      <c r="X345" s="84" t="s">
        <v>1537</v>
      </c>
      <c r="Y345" s="84">
        <v>0</v>
      </c>
      <c r="Z345" s="84" t="s">
        <v>1746</v>
      </c>
      <c r="AA345" s="84" t="s">
        <v>1746</v>
      </c>
      <c r="AB345" s="84"/>
      <c r="AC345" s="84"/>
      <c r="AD345" s="88" t="s">
        <v>1874</v>
      </c>
      <c r="AE345" s="86">
        <v>1</v>
      </c>
      <c r="AF345" s="87" t="str">
        <f>REPLACE(INDEX(GroupVertices[Group],MATCH(Edges[[#This Row],[Vertex 1]],GroupVertices[Vertex],0)),1,1,"")</f>
        <v>1</v>
      </c>
      <c r="AG345" s="87" t="str">
        <f>REPLACE(INDEX(GroupVertices[Group],MATCH(Edges[[#This Row],[Vertex 2]],GroupVertices[Vertex],0)),1,1,"")</f>
        <v>1</v>
      </c>
      <c r="AH345" s="105"/>
      <c r="AI345" s="105"/>
      <c r="AJ345" s="105"/>
      <c r="AK345" s="105"/>
      <c r="AL345" s="105"/>
      <c r="AM345" s="105"/>
      <c r="AN345" s="105"/>
      <c r="AO345" s="105"/>
      <c r="AP345" s="105"/>
    </row>
    <row r="346" spans="1:42" ht="15">
      <c r="A346" s="61" t="s">
        <v>546</v>
      </c>
      <c r="B346" s="61" t="s">
        <v>651</v>
      </c>
      <c r="C346" s="62" t="s">
        <v>2891</v>
      </c>
      <c r="D346" s="63">
        <v>5</v>
      </c>
      <c r="E346" s="62"/>
      <c r="F346" s="65">
        <v>25</v>
      </c>
      <c r="G346" s="62"/>
      <c r="H346" s="66"/>
      <c r="I346" s="67"/>
      <c r="J346" s="67"/>
      <c r="K346" s="31" t="s">
        <v>65</v>
      </c>
      <c r="L346" s="68">
        <v>346</v>
      </c>
      <c r="M346" s="68"/>
      <c r="N346" s="69"/>
      <c r="O346" s="84" t="s">
        <v>653</v>
      </c>
      <c r="P346" s="84" t="s">
        <v>215</v>
      </c>
      <c r="Q346" s="88" t="s">
        <v>997</v>
      </c>
      <c r="R346" s="84" t="s">
        <v>546</v>
      </c>
      <c r="S346" s="84" t="s">
        <v>1384</v>
      </c>
      <c r="T346" s="90" t="str">
        <f>HYPERLINK("http://www.youtube.com/channel/UC-5c1IGzc3Ttb8hvdNKgUCg")</f>
        <v>http://www.youtube.com/channel/UC-5c1IGzc3Ttb8hvdNKgUCg</v>
      </c>
      <c r="U346" s="84"/>
      <c r="V346" s="84" t="s">
        <v>1488</v>
      </c>
      <c r="W346" s="90" t="str">
        <f>HYPERLINK("https://www.youtube.com/watch?v=f9psILoYmCc")</f>
        <v>https://www.youtube.com/watch?v=f9psILoYmCc</v>
      </c>
      <c r="X346" s="84" t="s">
        <v>1537</v>
      </c>
      <c r="Y346" s="84">
        <v>0</v>
      </c>
      <c r="Z346" s="84" t="s">
        <v>1747</v>
      </c>
      <c r="AA346" s="84" t="s">
        <v>1747</v>
      </c>
      <c r="AB346" s="84"/>
      <c r="AC346" s="84"/>
      <c r="AD346" s="88" t="s">
        <v>1874</v>
      </c>
      <c r="AE346" s="86">
        <v>1</v>
      </c>
      <c r="AF346" s="87" t="str">
        <f>REPLACE(INDEX(GroupVertices[Group],MATCH(Edges[[#This Row],[Vertex 1]],GroupVertices[Vertex],0)),1,1,"")</f>
        <v>1</v>
      </c>
      <c r="AG346" s="87" t="str">
        <f>REPLACE(INDEX(GroupVertices[Group],MATCH(Edges[[#This Row],[Vertex 2]],GroupVertices[Vertex],0)),1,1,"")</f>
        <v>1</v>
      </c>
      <c r="AH346" s="105"/>
      <c r="AI346" s="105"/>
      <c r="AJ346" s="105"/>
      <c r="AK346" s="105"/>
      <c r="AL346" s="105"/>
      <c r="AM346" s="105"/>
      <c r="AN346" s="105"/>
      <c r="AO346" s="105"/>
      <c r="AP346" s="105"/>
    </row>
    <row r="347" spans="1:42" ht="15">
      <c r="A347" s="61" t="s">
        <v>547</v>
      </c>
      <c r="B347" s="61" t="s">
        <v>651</v>
      </c>
      <c r="C347" s="62" t="s">
        <v>2891</v>
      </c>
      <c r="D347" s="63">
        <v>5</v>
      </c>
      <c r="E347" s="62"/>
      <c r="F347" s="65">
        <v>25</v>
      </c>
      <c r="G347" s="62"/>
      <c r="H347" s="66"/>
      <c r="I347" s="67"/>
      <c r="J347" s="67"/>
      <c r="K347" s="31" t="s">
        <v>65</v>
      </c>
      <c r="L347" s="68">
        <v>347</v>
      </c>
      <c r="M347" s="68"/>
      <c r="N347" s="69"/>
      <c r="O347" s="84" t="s">
        <v>653</v>
      </c>
      <c r="P347" s="84" t="s">
        <v>215</v>
      </c>
      <c r="Q347" s="88" t="s">
        <v>998</v>
      </c>
      <c r="R347" s="84" t="s">
        <v>547</v>
      </c>
      <c r="S347" s="84" t="s">
        <v>1385</v>
      </c>
      <c r="T347" s="90" t="str">
        <f>HYPERLINK("http://www.youtube.com/channel/UC4ADxA6ErYeOe1JI2TSyYcg")</f>
        <v>http://www.youtube.com/channel/UC4ADxA6ErYeOe1JI2TSyYcg</v>
      </c>
      <c r="U347" s="84"/>
      <c r="V347" s="84" t="s">
        <v>1488</v>
      </c>
      <c r="W347" s="90" t="str">
        <f>HYPERLINK("https://www.youtube.com/watch?v=f9psILoYmCc")</f>
        <v>https://www.youtube.com/watch?v=f9psILoYmCc</v>
      </c>
      <c r="X347" s="84" t="s">
        <v>1537</v>
      </c>
      <c r="Y347" s="84">
        <v>0</v>
      </c>
      <c r="Z347" s="84" t="s">
        <v>1748</v>
      </c>
      <c r="AA347" s="84" t="s">
        <v>1748</v>
      </c>
      <c r="AB347" s="84"/>
      <c r="AC347" s="84"/>
      <c r="AD347" s="88" t="s">
        <v>1874</v>
      </c>
      <c r="AE347" s="86">
        <v>1</v>
      </c>
      <c r="AF347" s="87" t="str">
        <f>REPLACE(INDEX(GroupVertices[Group],MATCH(Edges[[#This Row],[Vertex 1]],GroupVertices[Vertex],0)),1,1,"")</f>
        <v>1</v>
      </c>
      <c r="AG347" s="87" t="str">
        <f>REPLACE(INDEX(GroupVertices[Group],MATCH(Edges[[#This Row],[Vertex 2]],GroupVertices[Vertex],0)),1,1,"")</f>
        <v>1</v>
      </c>
      <c r="AH347" s="105"/>
      <c r="AI347" s="105"/>
      <c r="AJ347" s="105"/>
      <c r="AK347" s="105"/>
      <c r="AL347" s="105"/>
      <c r="AM347" s="105"/>
      <c r="AN347" s="105"/>
      <c r="AO347" s="105"/>
      <c r="AP347" s="105"/>
    </row>
    <row r="348" spans="1:42" ht="15">
      <c r="A348" s="61" t="s">
        <v>548</v>
      </c>
      <c r="B348" s="61" t="s">
        <v>651</v>
      </c>
      <c r="C348" s="62" t="s">
        <v>2891</v>
      </c>
      <c r="D348" s="63">
        <v>5</v>
      </c>
      <c r="E348" s="62"/>
      <c r="F348" s="65">
        <v>25</v>
      </c>
      <c r="G348" s="62"/>
      <c r="H348" s="66"/>
      <c r="I348" s="67"/>
      <c r="J348" s="67"/>
      <c r="K348" s="31" t="s">
        <v>65</v>
      </c>
      <c r="L348" s="68">
        <v>348</v>
      </c>
      <c r="M348" s="68"/>
      <c r="N348" s="69"/>
      <c r="O348" s="84" t="s">
        <v>653</v>
      </c>
      <c r="P348" s="84" t="s">
        <v>215</v>
      </c>
      <c r="Q348" s="88" t="s">
        <v>999</v>
      </c>
      <c r="R348" s="84" t="s">
        <v>548</v>
      </c>
      <c r="S348" s="84" t="s">
        <v>1386</v>
      </c>
      <c r="T348" s="90" t="str">
        <f>HYPERLINK("http://www.youtube.com/channel/UCexpPzp9KVbQexJAvytb-tQ")</f>
        <v>http://www.youtube.com/channel/UCexpPzp9KVbQexJAvytb-tQ</v>
      </c>
      <c r="U348" s="84"/>
      <c r="V348" s="84" t="s">
        <v>1488</v>
      </c>
      <c r="W348" s="90" t="str">
        <f>HYPERLINK("https://www.youtube.com/watch?v=f9psILoYmCc")</f>
        <v>https://www.youtube.com/watch?v=f9psILoYmCc</v>
      </c>
      <c r="X348" s="84" t="s">
        <v>1537</v>
      </c>
      <c r="Y348" s="84">
        <v>5</v>
      </c>
      <c r="Z348" s="84" t="s">
        <v>1749</v>
      </c>
      <c r="AA348" s="84" t="s">
        <v>1749</v>
      </c>
      <c r="AB348" s="84"/>
      <c r="AC348" s="84"/>
      <c r="AD348" s="88" t="s">
        <v>1874</v>
      </c>
      <c r="AE348" s="86">
        <v>1</v>
      </c>
      <c r="AF348" s="87" t="str">
        <f>REPLACE(INDEX(GroupVertices[Group],MATCH(Edges[[#This Row],[Vertex 1]],GroupVertices[Vertex],0)),1,1,"")</f>
        <v>1</v>
      </c>
      <c r="AG348" s="87" t="str">
        <f>REPLACE(INDEX(GroupVertices[Group],MATCH(Edges[[#This Row],[Vertex 2]],GroupVertices[Vertex],0)),1,1,"")</f>
        <v>1</v>
      </c>
      <c r="AH348" s="105"/>
      <c r="AI348" s="105"/>
      <c r="AJ348" s="105"/>
      <c r="AK348" s="105"/>
      <c r="AL348" s="105"/>
      <c r="AM348" s="105"/>
      <c r="AN348" s="105"/>
      <c r="AO348" s="105"/>
      <c r="AP348" s="105"/>
    </row>
    <row r="349" spans="1:42" ht="15">
      <c r="A349" s="61" t="s">
        <v>549</v>
      </c>
      <c r="B349" s="61" t="s">
        <v>651</v>
      </c>
      <c r="C349" s="62" t="s">
        <v>2891</v>
      </c>
      <c r="D349" s="63">
        <v>5</v>
      </c>
      <c r="E349" s="62"/>
      <c r="F349" s="65">
        <v>25</v>
      </c>
      <c r="G349" s="62"/>
      <c r="H349" s="66"/>
      <c r="I349" s="67"/>
      <c r="J349" s="67"/>
      <c r="K349" s="31" t="s">
        <v>65</v>
      </c>
      <c r="L349" s="68">
        <v>349</v>
      </c>
      <c r="M349" s="68"/>
      <c r="N349" s="69"/>
      <c r="O349" s="84" t="s">
        <v>653</v>
      </c>
      <c r="P349" s="84" t="s">
        <v>215</v>
      </c>
      <c r="Q349" s="88" t="s">
        <v>1000</v>
      </c>
      <c r="R349" s="84" t="s">
        <v>549</v>
      </c>
      <c r="S349" s="84" t="s">
        <v>1387</v>
      </c>
      <c r="T349" s="90" t="str">
        <f>HYPERLINK("http://www.youtube.com/channel/UCcavxBtx_PfYmHzROwXsPFw")</f>
        <v>http://www.youtube.com/channel/UCcavxBtx_PfYmHzROwXsPFw</v>
      </c>
      <c r="U349" s="84"/>
      <c r="V349" s="84" t="s">
        <v>1488</v>
      </c>
      <c r="W349" s="90" t="str">
        <f>HYPERLINK("https://www.youtube.com/watch?v=f9psILoYmCc")</f>
        <v>https://www.youtube.com/watch?v=f9psILoYmCc</v>
      </c>
      <c r="X349" s="84" t="s">
        <v>1537</v>
      </c>
      <c r="Y349" s="84">
        <v>78</v>
      </c>
      <c r="Z349" s="84" t="s">
        <v>1750</v>
      </c>
      <c r="AA349" s="84" t="s">
        <v>1851</v>
      </c>
      <c r="AB349" s="84"/>
      <c r="AC349" s="84"/>
      <c r="AD349" s="88" t="s">
        <v>1874</v>
      </c>
      <c r="AE349" s="86">
        <v>1</v>
      </c>
      <c r="AF349" s="87" t="str">
        <f>REPLACE(INDEX(GroupVertices[Group],MATCH(Edges[[#This Row],[Vertex 1]],GroupVertices[Vertex],0)),1,1,"")</f>
        <v>1</v>
      </c>
      <c r="AG349" s="87" t="str">
        <f>REPLACE(INDEX(GroupVertices[Group],MATCH(Edges[[#This Row],[Vertex 2]],GroupVertices[Vertex],0)),1,1,"")</f>
        <v>1</v>
      </c>
      <c r="AH349" s="105"/>
      <c r="AI349" s="105"/>
      <c r="AJ349" s="105"/>
      <c r="AK349" s="105"/>
      <c r="AL349" s="105"/>
      <c r="AM349" s="105"/>
      <c r="AN349" s="105"/>
      <c r="AO349" s="105"/>
      <c r="AP349" s="105"/>
    </row>
    <row r="350" spans="1:42" ht="15">
      <c r="A350" s="61" t="s">
        <v>550</v>
      </c>
      <c r="B350" s="61" t="s">
        <v>649</v>
      </c>
      <c r="C350" s="62" t="s">
        <v>2891</v>
      </c>
      <c r="D350" s="63">
        <v>5</v>
      </c>
      <c r="E350" s="62"/>
      <c r="F350" s="65">
        <v>25</v>
      </c>
      <c r="G350" s="62"/>
      <c r="H350" s="66"/>
      <c r="I350" s="67"/>
      <c r="J350" s="67"/>
      <c r="K350" s="31" t="s">
        <v>65</v>
      </c>
      <c r="L350" s="68">
        <v>350</v>
      </c>
      <c r="M350" s="68"/>
      <c r="N350" s="69"/>
      <c r="O350" s="84" t="s">
        <v>653</v>
      </c>
      <c r="P350" s="84" t="s">
        <v>215</v>
      </c>
      <c r="Q350" s="88" t="s">
        <v>1001</v>
      </c>
      <c r="R350" s="84" t="s">
        <v>550</v>
      </c>
      <c r="S350" s="84" t="s">
        <v>1388</v>
      </c>
      <c r="T350" s="90" t="str">
        <f>HYPERLINK("http://www.youtube.com/channel/UCpiHKaPkHj7YkOPgiCCdSWw")</f>
        <v>http://www.youtube.com/channel/UCpiHKaPkHj7YkOPgiCCdSWw</v>
      </c>
      <c r="U350" s="84"/>
      <c r="V350" s="84" t="s">
        <v>1484</v>
      </c>
      <c r="W350" s="90" t="str">
        <f>HYPERLINK("https://www.youtube.com/watch?v=61Q_HzqcGtk")</f>
        <v>https://www.youtube.com/watch?v=61Q_HzqcGtk</v>
      </c>
      <c r="X350" s="84" t="s">
        <v>1537</v>
      </c>
      <c r="Y350" s="84">
        <v>0</v>
      </c>
      <c r="Z350" s="93">
        <v>43009.7212037037</v>
      </c>
      <c r="AA350" s="93">
        <v>43009.7212037037</v>
      </c>
      <c r="AB350" s="84"/>
      <c r="AC350" s="84"/>
      <c r="AD350" s="88" t="s">
        <v>1874</v>
      </c>
      <c r="AE350" s="86">
        <v>1</v>
      </c>
      <c r="AF350" s="87" t="str">
        <f>REPLACE(INDEX(GroupVertices[Group],MATCH(Edges[[#This Row],[Vertex 1]],GroupVertices[Vertex],0)),1,1,"")</f>
        <v>7</v>
      </c>
      <c r="AG350" s="87" t="str">
        <f>REPLACE(INDEX(GroupVertices[Group],MATCH(Edges[[#This Row],[Vertex 2]],GroupVertices[Vertex],0)),1,1,"")</f>
        <v>7</v>
      </c>
      <c r="AH350" s="105"/>
      <c r="AI350" s="105"/>
      <c r="AJ350" s="105"/>
      <c r="AK350" s="105"/>
      <c r="AL350" s="105"/>
      <c r="AM350" s="105"/>
      <c r="AN350" s="105"/>
      <c r="AO350" s="105"/>
      <c r="AP350" s="105"/>
    </row>
    <row r="351" spans="1:42" ht="15">
      <c r="A351" s="61" t="s">
        <v>550</v>
      </c>
      <c r="B351" s="61" t="s">
        <v>651</v>
      </c>
      <c r="C351" s="62" t="s">
        <v>2891</v>
      </c>
      <c r="D351" s="63">
        <v>5</v>
      </c>
      <c r="E351" s="62"/>
      <c r="F351" s="65">
        <v>25</v>
      </c>
      <c r="G351" s="62"/>
      <c r="H351" s="66"/>
      <c r="I351" s="67"/>
      <c r="J351" s="67"/>
      <c r="K351" s="31" t="s">
        <v>65</v>
      </c>
      <c r="L351" s="68">
        <v>351</v>
      </c>
      <c r="M351" s="68"/>
      <c r="N351" s="69"/>
      <c r="O351" s="84" t="s">
        <v>653</v>
      </c>
      <c r="P351" s="84" t="s">
        <v>215</v>
      </c>
      <c r="Q351" s="88" t="s">
        <v>1002</v>
      </c>
      <c r="R351" s="84" t="s">
        <v>550</v>
      </c>
      <c r="S351" s="84" t="s">
        <v>1388</v>
      </c>
      <c r="T351" s="90" t="str">
        <f>HYPERLINK("http://www.youtube.com/channel/UCpiHKaPkHj7YkOPgiCCdSWw")</f>
        <v>http://www.youtube.com/channel/UCpiHKaPkHj7YkOPgiCCdSWw</v>
      </c>
      <c r="U351" s="84"/>
      <c r="V351" s="84" t="s">
        <v>1488</v>
      </c>
      <c r="W351" s="90" t="str">
        <f>HYPERLINK("https://www.youtube.com/watch?v=f9psILoYmCc")</f>
        <v>https://www.youtube.com/watch?v=f9psILoYmCc</v>
      </c>
      <c r="X351" s="84" t="s">
        <v>1537</v>
      </c>
      <c r="Y351" s="84">
        <v>3</v>
      </c>
      <c r="Z351" s="84" t="s">
        <v>1751</v>
      </c>
      <c r="AA351" s="84" t="s">
        <v>1751</v>
      </c>
      <c r="AB351" s="84"/>
      <c r="AC351" s="84"/>
      <c r="AD351" s="88" t="s">
        <v>1874</v>
      </c>
      <c r="AE351" s="86">
        <v>1</v>
      </c>
      <c r="AF351" s="87" t="str">
        <f>REPLACE(INDEX(GroupVertices[Group],MATCH(Edges[[#This Row],[Vertex 1]],GroupVertices[Vertex],0)),1,1,"")</f>
        <v>7</v>
      </c>
      <c r="AG351" s="87" t="str">
        <f>REPLACE(INDEX(GroupVertices[Group],MATCH(Edges[[#This Row],[Vertex 2]],GroupVertices[Vertex],0)),1,1,"")</f>
        <v>1</v>
      </c>
      <c r="AH351" s="105"/>
      <c r="AI351" s="105"/>
      <c r="AJ351" s="105"/>
      <c r="AK351" s="105"/>
      <c r="AL351" s="105"/>
      <c r="AM351" s="105"/>
      <c r="AN351" s="105"/>
      <c r="AO351" s="105"/>
      <c r="AP351" s="105"/>
    </row>
    <row r="352" spans="1:42" ht="15">
      <c r="A352" s="61" t="s">
        <v>551</v>
      </c>
      <c r="B352" s="61" t="s">
        <v>651</v>
      </c>
      <c r="C352" s="62" t="s">
        <v>2891</v>
      </c>
      <c r="D352" s="63">
        <v>5</v>
      </c>
      <c r="E352" s="62"/>
      <c r="F352" s="65">
        <v>25</v>
      </c>
      <c r="G352" s="62"/>
      <c r="H352" s="66"/>
      <c r="I352" s="67"/>
      <c r="J352" s="67"/>
      <c r="K352" s="31" t="s">
        <v>65</v>
      </c>
      <c r="L352" s="68">
        <v>352</v>
      </c>
      <c r="M352" s="68"/>
      <c r="N352" s="69"/>
      <c r="O352" s="84" t="s">
        <v>653</v>
      </c>
      <c r="P352" s="84" t="s">
        <v>215</v>
      </c>
      <c r="Q352" s="88" t="s">
        <v>1003</v>
      </c>
      <c r="R352" s="84" t="s">
        <v>551</v>
      </c>
      <c r="S352" s="84" t="s">
        <v>1389</v>
      </c>
      <c r="T352" s="90" t="str">
        <f>HYPERLINK("http://www.youtube.com/channel/UCje-9ZIm60JB3IzfcpmUQhA")</f>
        <v>http://www.youtube.com/channel/UCje-9ZIm60JB3IzfcpmUQhA</v>
      </c>
      <c r="U352" s="84"/>
      <c r="V352" s="84" t="s">
        <v>1488</v>
      </c>
      <c r="W352" s="90" t="str">
        <f>HYPERLINK("https://www.youtube.com/watch?v=f9psILoYmCc")</f>
        <v>https://www.youtube.com/watch?v=f9psILoYmCc</v>
      </c>
      <c r="X352" s="84" t="s">
        <v>1537</v>
      </c>
      <c r="Y352" s="84">
        <v>0</v>
      </c>
      <c r="Z352" s="93">
        <v>43133.90704861111</v>
      </c>
      <c r="AA352" s="93">
        <v>43133.90704861111</v>
      </c>
      <c r="AB352" s="84"/>
      <c r="AC352" s="84"/>
      <c r="AD352" s="88" t="s">
        <v>1874</v>
      </c>
      <c r="AE352" s="86">
        <v>1</v>
      </c>
      <c r="AF352" s="87" t="str">
        <f>REPLACE(INDEX(GroupVertices[Group],MATCH(Edges[[#This Row],[Vertex 1]],GroupVertices[Vertex],0)),1,1,"")</f>
        <v>1</v>
      </c>
      <c r="AG352" s="87" t="str">
        <f>REPLACE(INDEX(GroupVertices[Group],MATCH(Edges[[#This Row],[Vertex 2]],GroupVertices[Vertex],0)),1,1,"")</f>
        <v>1</v>
      </c>
      <c r="AH352" s="105"/>
      <c r="AI352" s="105"/>
      <c r="AJ352" s="105"/>
      <c r="AK352" s="105"/>
      <c r="AL352" s="105"/>
      <c r="AM352" s="105"/>
      <c r="AN352" s="105"/>
      <c r="AO352" s="105"/>
      <c r="AP352" s="105"/>
    </row>
    <row r="353" spans="1:42" ht="15">
      <c r="A353" s="61" t="s">
        <v>552</v>
      </c>
      <c r="B353" s="61" t="s">
        <v>651</v>
      </c>
      <c r="C353" s="62" t="s">
        <v>2891</v>
      </c>
      <c r="D353" s="63">
        <v>5</v>
      </c>
      <c r="E353" s="62"/>
      <c r="F353" s="65">
        <v>25</v>
      </c>
      <c r="G353" s="62"/>
      <c r="H353" s="66"/>
      <c r="I353" s="67"/>
      <c r="J353" s="67"/>
      <c r="K353" s="31" t="s">
        <v>65</v>
      </c>
      <c r="L353" s="68">
        <v>353</v>
      </c>
      <c r="M353" s="68"/>
      <c r="N353" s="69"/>
      <c r="O353" s="84" t="s">
        <v>653</v>
      </c>
      <c r="P353" s="84" t="s">
        <v>215</v>
      </c>
      <c r="Q353" s="88" t="s">
        <v>1004</v>
      </c>
      <c r="R353" s="84" t="s">
        <v>552</v>
      </c>
      <c r="S353" s="84" t="s">
        <v>1390</v>
      </c>
      <c r="T353" s="90" t="str">
        <f>HYPERLINK("http://www.youtube.com/channel/UCqy0ekWdha_X7pGbUhH7r0A")</f>
        <v>http://www.youtube.com/channel/UCqy0ekWdha_X7pGbUhH7r0A</v>
      </c>
      <c r="U353" s="84"/>
      <c r="V353" s="84" t="s">
        <v>1488</v>
      </c>
      <c r="W353" s="90" t="str">
        <f>HYPERLINK("https://www.youtube.com/watch?v=f9psILoYmCc")</f>
        <v>https://www.youtube.com/watch?v=f9psILoYmCc</v>
      </c>
      <c r="X353" s="84" t="s">
        <v>1537</v>
      </c>
      <c r="Y353" s="84">
        <v>0</v>
      </c>
      <c r="Z353" s="93">
        <v>43161.53296296296</v>
      </c>
      <c r="AA353" s="93">
        <v>43161.53296296296</v>
      </c>
      <c r="AB353" s="84" t="s">
        <v>1865</v>
      </c>
      <c r="AC353" s="84" t="s">
        <v>1869</v>
      </c>
      <c r="AD353" s="88" t="s">
        <v>1874</v>
      </c>
      <c r="AE353" s="86">
        <v>1</v>
      </c>
      <c r="AF353" s="87" t="str">
        <f>REPLACE(INDEX(GroupVertices[Group],MATCH(Edges[[#This Row],[Vertex 1]],GroupVertices[Vertex],0)),1,1,"")</f>
        <v>1</v>
      </c>
      <c r="AG353" s="87" t="str">
        <f>REPLACE(INDEX(GroupVertices[Group],MATCH(Edges[[#This Row],[Vertex 2]],GroupVertices[Vertex],0)),1,1,"")</f>
        <v>1</v>
      </c>
      <c r="AH353" s="105"/>
      <c r="AI353" s="105"/>
      <c r="AJ353" s="105"/>
      <c r="AK353" s="105"/>
      <c r="AL353" s="105"/>
      <c r="AM353" s="105"/>
      <c r="AN353" s="105"/>
      <c r="AO353" s="105"/>
      <c r="AP353" s="105"/>
    </row>
    <row r="354" spans="1:42" ht="15">
      <c r="A354" s="61" t="s">
        <v>553</v>
      </c>
      <c r="B354" s="61" t="s">
        <v>651</v>
      </c>
      <c r="C354" s="62" t="s">
        <v>2891</v>
      </c>
      <c r="D354" s="63">
        <v>5</v>
      </c>
      <c r="E354" s="62"/>
      <c r="F354" s="65">
        <v>25</v>
      </c>
      <c r="G354" s="62"/>
      <c r="H354" s="66"/>
      <c r="I354" s="67"/>
      <c r="J354" s="67"/>
      <c r="K354" s="31" t="s">
        <v>65</v>
      </c>
      <c r="L354" s="68">
        <v>354</v>
      </c>
      <c r="M354" s="68"/>
      <c r="N354" s="69"/>
      <c r="O354" s="84" t="s">
        <v>653</v>
      </c>
      <c r="P354" s="84" t="s">
        <v>215</v>
      </c>
      <c r="Q354" s="88" t="s">
        <v>1005</v>
      </c>
      <c r="R354" s="84" t="s">
        <v>553</v>
      </c>
      <c r="S354" s="84" t="s">
        <v>1391</v>
      </c>
      <c r="T354" s="90" t="str">
        <f>HYPERLINK("http://www.youtube.com/channel/UCsePoG1ZhWfUTg2efbyvS8w")</f>
        <v>http://www.youtube.com/channel/UCsePoG1ZhWfUTg2efbyvS8w</v>
      </c>
      <c r="U354" s="84"/>
      <c r="V354" s="84" t="s">
        <v>1488</v>
      </c>
      <c r="W354" s="90" t="str">
        <f>HYPERLINK("https://www.youtube.com/watch?v=f9psILoYmCc")</f>
        <v>https://www.youtube.com/watch?v=f9psILoYmCc</v>
      </c>
      <c r="X354" s="84" t="s">
        <v>1537</v>
      </c>
      <c r="Y354" s="84">
        <v>1</v>
      </c>
      <c r="Z354" s="93">
        <v>43192.0328125</v>
      </c>
      <c r="AA354" s="93">
        <v>43192.0328125</v>
      </c>
      <c r="AB354" s="84"/>
      <c r="AC354" s="84"/>
      <c r="AD354" s="88" t="s">
        <v>1874</v>
      </c>
      <c r="AE354" s="86">
        <v>1</v>
      </c>
      <c r="AF354" s="87" t="str">
        <f>REPLACE(INDEX(GroupVertices[Group],MATCH(Edges[[#This Row],[Vertex 1]],GroupVertices[Vertex],0)),1,1,"")</f>
        <v>1</v>
      </c>
      <c r="AG354" s="87" t="str">
        <f>REPLACE(INDEX(GroupVertices[Group],MATCH(Edges[[#This Row],[Vertex 2]],GroupVertices[Vertex],0)),1,1,"")</f>
        <v>1</v>
      </c>
      <c r="AH354" s="105"/>
      <c r="AI354" s="105"/>
      <c r="AJ354" s="105"/>
      <c r="AK354" s="105"/>
      <c r="AL354" s="105"/>
      <c r="AM354" s="105"/>
      <c r="AN354" s="105"/>
      <c r="AO354" s="105"/>
      <c r="AP354" s="105"/>
    </row>
    <row r="355" spans="1:42" ht="15">
      <c r="A355" s="61" t="s">
        <v>554</v>
      </c>
      <c r="B355" s="61" t="s">
        <v>651</v>
      </c>
      <c r="C355" s="62" t="s">
        <v>2891</v>
      </c>
      <c r="D355" s="63">
        <v>5</v>
      </c>
      <c r="E355" s="62"/>
      <c r="F355" s="65">
        <v>25</v>
      </c>
      <c r="G355" s="62"/>
      <c r="H355" s="66"/>
      <c r="I355" s="67"/>
      <c r="J355" s="67"/>
      <c r="K355" s="31" t="s">
        <v>65</v>
      </c>
      <c r="L355" s="68">
        <v>355</v>
      </c>
      <c r="M355" s="68"/>
      <c r="N355" s="69"/>
      <c r="O355" s="84" t="s">
        <v>653</v>
      </c>
      <c r="P355" s="84" t="s">
        <v>215</v>
      </c>
      <c r="Q355" s="88" t="s">
        <v>1006</v>
      </c>
      <c r="R355" s="84" t="s">
        <v>554</v>
      </c>
      <c r="S355" s="84" t="s">
        <v>1392</v>
      </c>
      <c r="T355" s="90" t="str">
        <f>HYPERLINK("http://www.youtube.com/channel/UC8mKunOp0S4Ln7hctcPHJQA")</f>
        <v>http://www.youtube.com/channel/UC8mKunOp0S4Ln7hctcPHJQA</v>
      </c>
      <c r="U355" s="84"/>
      <c r="V355" s="84" t="s">
        <v>1488</v>
      </c>
      <c r="W355" s="90" t="str">
        <f>HYPERLINK("https://www.youtube.com/watch?v=f9psILoYmCc")</f>
        <v>https://www.youtube.com/watch?v=f9psILoYmCc</v>
      </c>
      <c r="X355" s="84" t="s">
        <v>1537</v>
      </c>
      <c r="Y355" s="84">
        <v>2</v>
      </c>
      <c r="Z355" s="84" t="s">
        <v>1752</v>
      </c>
      <c r="AA355" s="84" t="s">
        <v>1752</v>
      </c>
      <c r="AB355" s="84"/>
      <c r="AC355" s="84"/>
      <c r="AD355" s="88" t="s">
        <v>1874</v>
      </c>
      <c r="AE355" s="86">
        <v>1</v>
      </c>
      <c r="AF355" s="87" t="str">
        <f>REPLACE(INDEX(GroupVertices[Group],MATCH(Edges[[#This Row],[Vertex 1]],GroupVertices[Vertex],0)),1,1,"")</f>
        <v>1</v>
      </c>
      <c r="AG355" s="87" t="str">
        <f>REPLACE(INDEX(GroupVertices[Group],MATCH(Edges[[#This Row],[Vertex 2]],GroupVertices[Vertex],0)),1,1,"")</f>
        <v>1</v>
      </c>
      <c r="AH355" s="105"/>
      <c r="AI355" s="105"/>
      <c r="AJ355" s="105"/>
      <c r="AK355" s="105"/>
      <c r="AL355" s="105"/>
      <c r="AM355" s="105"/>
      <c r="AN355" s="105"/>
      <c r="AO355" s="105"/>
      <c r="AP355" s="105"/>
    </row>
    <row r="356" spans="1:42" ht="15">
      <c r="A356" s="61" t="s">
        <v>555</v>
      </c>
      <c r="B356" s="61" t="s">
        <v>651</v>
      </c>
      <c r="C356" s="62" t="s">
        <v>2891</v>
      </c>
      <c r="D356" s="63">
        <v>5</v>
      </c>
      <c r="E356" s="62"/>
      <c r="F356" s="65">
        <v>25</v>
      </c>
      <c r="G356" s="62"/>
      <c r="H356" s="66"/>
      <c r="I356" s="67"/>
      <c r="J356" s="67"/>
      <c r="K356" s="31" t="s">
        <v>65</v>
      </c>
      <c r="L356" s="68">
        <v>356</v>
      </c>
      <c r="M356" s="68"/>
      <c r="N356" s="69"/>
      <c r="O356" s="84" t="s">
        <v>653</v>
      </c>
      <c r="P356" s="84" t="s">
        <v>215</v>
      </c>
      <c r="Q356" s="88" t="s">
        <v>980</v>
      </c>
      <c r="R356" s="84" t="s">
        <v>555</v>
      </c>
      <c r="S356" s="84" t="s">
        <v>1393</v>
      </c>
      <c r="T356" s="90" t="str">
        <f>HYPERLINK("http://www.youtube.com/channel/UCg5pjmjkEK7DdgS8XG_M46A")</f>
        <v>http://www.youtube.com/channel/UCg5pjmjkEK7DdgS8XG_M46A</v>
      </c>
      <c r="U356" s="84"/>
      <c r="V356" s="84" t="s">
        <v>1488</v>
      </c>
      <c r="W356" s="90" t="str">
        <f>HYPERLINK("https://www.youtube.com/watch?v=f9psILoYmCc")</f>
        <v>https://www.youtube.com/watch?v=f9psILoYmCc</v>
      </c>
      <c r="X356" s="84" t="s">
        <v>1537</v>
      </c>
      <c r="Y356" s="84">
        <v>1</v>
      </c>
      <c r="Z356" s="84" t="s">
        <v>1753</v>
      </c>
      <c r="AA356" s="84" t="s">
        <v>1753</v>
      </c>
      <c r="AB356" s="84"/>
      <c r="AC356" s="84"/>
      <c r="AD356" s="88" t="s">
        <v>1874</v>
      </c>
      <c r="AE356" s="86">
        <v>1</v>
      </c>
      <c r="AF356" s="87" t="str">
        <f>REPLACE(INDEX(GroupVertices[Group],MATCH(Edges[[#This Row],[Vertex 1]],GroupVertices[Vertex],0)),1,1,"")</f>
        <v>1</v>
      </c>
      <c r="AG356" s="87" t="str">
        <f>REPLACE(INDEX(GroupVertices[Group],MATCH(Edges[[#This Row],[Vertex 2]],GroupVertices[Vertex],0)),1,1,"")</f>
        <v>1</v>
      </c>
      <c r="AH356" s="105"/>
      <c r="AI356" s="105"/>
      <c r="AJ356" s="105"/>
      <c r="AK356" s="105"/>
      <c r="AL356" s="105"/>
      <c r="AM356" s="105"/>
      <c r="AN356" s="105"/>
      <c r="AO356" s="105"/>
      <c r="AP356" s="105"/>
    </row>
    <row r="357" spans="1:42" ht="15">
      <c r="A357" s="61" t="s">
        <v>556</v>
      </c>
      <c r="B357" s="61" t="s">
        <v>651</v>
      </c>
      <c r="C357" s="62" t="s">
        <v>2891</v>
      </c>
      <c r="D357" s="63">
        <v>5</v>
      </c>
      <c r="E357" s="62"/>
      <c r="F357" s="65">
        <v>25</v>
      </c>
      <c r="G357" s="62"/>
      <c r="H357" s="66"/>
      <c r="I357" s="67"/>
      <c r="J357" s="67"/>
      <c r="K357" s="31" t="s">
        <v>65</v>
      </c>
      <c r="L357" s="68">
        <v>357</v>
      </c>
      <c r="M357" s="68"/>
      <c r="N357" s="69"/>
      <c r="O357" s="84" t="s">
        <v>653</v>
      </c>
      <c r="P357" s="84" t="s">
        <v>215</v>
      </c>
      <c r="Q357" s="88" t="s">
        <v>1007</v>
      </c>
      <c r="R357" s="84" t="s">
        <v>556</v>
      </c>
      <c r="S357" s="84" t="s">
        <v>1394</v>
      </c>
      <c r="T357" s="90" t="str">
        <f>HYPERLINK("http://www.youtube.com/channel/UCJB64zhi27F13KCXHl4zs9Q")</f>
        <v>http://www.youtube.com/channel/UCJB64zhi27F13KCXHl4zs9Q</v>
      </c>
      <c r="U357" s="84"/>
      <c r="V357" s="84" t="s">
        <v>1488</v>
      </c>
      <c r="W357" s="90" t="str">
        <f>HYPERLINK("https://www.youtube.com/watch?v=f9psILoYmCc")</f>
        <v>https://www.youtube.com/watch?v=f9psILoYmCc</v>
      </c>
      <c r="X357" s="84" t="s">
        <v>1537</v>
      </c>
      <c r="Y357" s="84">
        <v>3</v>
      </c>
      <c r="Z357" s="84" t="s">
        <v>1754</v>
      </c>
      <c r="AA357" s="84" t="s">
        <v>1754</v>
      </c>
      <c r="AB357" s="84"/>
      <c r="AC357" s="84"/>
      <c r="AD357" s="88" t="s">
        <v>1874</v>
      </c>
      <c r="AE357" s="86">
        <v>1</v>
      </c>
      <c r="AF357" s="87" t="str">
        <f>REPLACE(INDEX(GroupVertices[Group],MATCH(Edges[[#This Row],[Vertex 1]],GroupVertices[Vertex],0)),1,1,"")</f>
        <v>1</v>
      </c>
      <c r="AG357" s="87" t="str">
        <f>REPLACE(INDEX(GroupVertices[Group],MATCH(Edges[[#This Row],[Vertex 2]],GroupVertices[Vertex],0)),1,1,"")</f>
        <v>1</v>
      </c>
      <c r="AH357" s="105"/>
      <c r="AI357" s="105"/>
      <c r="AJ357" s="105"/>
      <c r="AK357" s="105"/>
      <c r="AL357" s="105"/>
      <c r="AM357" s="105"/>
      <c r="AN357" s="105"/>
      <c r="AO357" s="105"/>
      <c r="AP357" s="105"/>
    </row>
    <row r="358" spans="1:42" ht="15">
      <c r="A358" s="61" t="s">
        <v>557</v>
      </c>
      <c r="B358" s="61" t="s">
        <v>651</v>
      </c>
      <c r="C358" s="62" t="s">
        <v>2891</v>
      </c>
      <c r="D358" s="63">
        <v>5</v>
      </c>
      <c r="E358" s="62"/>
      <c r="F358" s="65">
        <v>25</v>
      </c>
      <c r="G358" s="62"/>
      <c r="H358" s="66"/>
      <c r="I358" s="67"/>
      <c r="J358" s="67"/>
      <c r="K358" s="31" t="s">
        <v>65</v>
      </c>
      <c r="L358" s="68">
        <v>358</v>
      </c>
      <c r="M358" s="68"/>
      <c r="N358" s="69"/>
      <c r="O358" s="84" t="s">
        <v>653</v>
      </c>
      <c r="P358" s="84" t="s">
        <v>215</v>
      </c>
      <c r="Q358" s="88" t="s">
        <v>1008</v>
      </c>
      <c r="R358" s="84" t="s">
        <v>557</v>
      </c>
      <c r="S358" s="84" t="s">
        <v>1395</v>
      </c>
      <c r="T358" s="90" t="str">
        <f>HYPERLINK("http://www.youtube.com/channel/UCO0vd-Q-wuvy6p1D_stpjLA")</f>
        <v>http://www.youtube.com/channel/UCO0vd-Q-wuvy6p1D_stpjLA</v>
      </c>
      <c r="U358" s="84"/>
      <c r="V358" s="84" t="s">
        <v>1488</v>
      </c>
      <c r="W358" s="90" t="str">
        <f>HYPERLINK("https://www.youtube.com/watch?v=f9psILoYmCc")</f>
        <v>https://www.youtube.com/watch?v=f9psILoYmCc</v>
      </c>
      <c r="X358" s="84" t="s">
        <v>1537</v>
      </c>
      <c r="Y358" s="84">
        <v>11</v>
      </c>
      <c r="Z358" s="84" t="s">
        <v>1755</v>
      </c>
      <c r="AA358" s="84" t="s">
        <v>1755</v>
      </c>
      <c r="AB358" s="84"/>
      <c r="AC358" s="84"/>
      <c r="AD358" s="88" t="s">
        <v>1874</v>
      </c>
      <c r="AE358" s="86">
        <v>1</v>
      </c>
      <c r="AF358" s="87" t="str">
        <f>REPLACE(INDEX(GroupVertices[Group],MATCH(Edges[[#This Row],[Vertex 1]],GroupVertices[Vertex],0)),1,1,"")</f>
        <v>1</v>
      </c>
      <c r="AG358" s="87" t="str">
        <f>REPLACE(INDEX(GroupVertices[Group],MATCH(Edges[[#This Row],[Vertex 2]],GroupVertices[Vertex],0)),1,1,"")</f>
        <v>1</v>
      </c>
      <c r="AH358" s="105"/>
      <c r="AI358" s="105"/>
      <c r="AJ358" s="105"/>
      <c r="AK358" s="105"/>
      <c r="AL358" s="105"/>
      <c r="AM358" s="105"/>
      <c r="AN358" s="105"/>
      <c r="AO358" s="105"/>
      <c r="AP358" s="105"/>
    </row>
    <row r="359" spans="1:42" ht="15">
      <c r="A359" s="61" t="s">
        <v>558</v>
      </c>
      <c r="B359" s="61" t="s">
        <v>651</v>
      </c>
      <c r="C359" s="62" t="s">
        <v>2891</v>
      </c>
      <c r="D359" s="63">
        <v>5</v>
      </c>
      <c r="E359" s="62"/>
      <c r="F359" s="65">
        <v>25</v>
      </c>
      <c r="G359" s="62"/>
      <c r="H359" s="66"/>
      <c r="I359" s="67"/>
      <c r="J359" s="67"/>
      <c r="K359" s="31" t="s">
        <v>65</v>
      </c>
      <c r="L359" s="68">
        <v>359</v>
      </c>
      <c r="M359" s="68"/>
      <c r="N359" s="69"/>
      <c r="O359" s="84" t="s">
        <v>653</v>
      </c>
      <c r="P359" s="84" t="s">
        <v>215</v>
      </c>
      <c r="Q359" s="88" t="s">
        <v>1009</v>
      </c>
      <c r="R359" s="84" t="s">
        <v>558</v>
      </c>
      <c r="S359" s="84" t="s">
        <v>1396</v>
      </c>
      <c r="T359" s="90" t="str">
        <f>HYPERLINK("http://www.youtube.com/channel/UC0JjsEtFmDfrNWzLxI744sw")</f>
        <v>http://www.youtube.com/channel/UC0JjsEtFmDfrNWzLxI744sw</v>
      </c>
      <c r="U359" s="84"/>
      <c r="V359" s="84" t="s">
        <v>1488</v>
      </c>
      <c r="W359" s="90" t="str">
        <f>HYPERLINK("https://www.youtube.com/watch?v=f9psILoYmCc")</f>
        <v>https://www.youtube.com/watch?v=f9psILoYmCc</v>
      </c>
      <c r="X359" s="84" t="s">
        <v>1537</v>
      </c>
      <c r="Y359" s="84">
        <v>10</v>
      </c>
      <c r="Z359" s="84" t="s">
        <v>1756</v>
      </c>
      <c r="AA359" s="84" t="s">
        <v>1756</v>
      </c>
      <c r="AB359" s="84"/>
      <c r="AC359" s="84"/>
      <c r="AD359" s="88" t="s">
        <v>1874</v>
      </c>
      <c r="AE359" s="86">
        <v>1</v>
      </c>
      <c r="AF359" s="87" t="str">
        <f>REPLACE(INDEX(GroupVertices[Group],MATCH(Edges[[#This Row],[Vertex 1]],GroupVertices[Vertex],0)),1,1,"")</f>
        <v>1</v>
      </c>
      <c r="AG359" s="87" t="str">
        <f>REPLACE(INDEX(GroupVertices[Group],MATCH(Edges[[#This Row],[Vertex 2]],GroupVertices[Vertex],0)),1,1,"")</f>
        <v>1</v>
      </c>
      <c r="AH359" s="105"/>
      <c r="AI359" s="105"/>
      <c r="AJ359" s="105"/>
      <c r="AK359" s="105"/>
      <c r="AL359" s="105"/>
      <c r="AM359" s="105"/>
      <c r="AN359" s="105"/>
      <c r="AO359" s="105"/>
      <c r="AP359" s="105"/>
    </row>
    <row r="360" spans="1:42" ht="15">
      <c r="A360" s="61" t="s">
        <v>559</v>
      </c>
      <c r="B360" s="61" t="s">
        <v>651</v>
      </c>
      <c r="C360" s="62" t="s">
        <v>2891</v>
      </c>
      <c r="D360" s="63">
        <v>5</v>
      </c>
      <c r="E360" s="62"/>
      <c r="F360" s="65">
        <v>25</v>
      </c>
      <c r="G360" s="62"/>
      <c r="H360" s="66"/>
      <c r="I360" s="67"/>
      <c r="J360" s="67"/>
      <c r="K360" s="31" t="s">
        <v>65</v>
      </c>
      <c r="L360" s="68">
        <v>360</v>
      </c>
      <c r="M360" s="68"/>
      <c r="N360" s="69"/>
      <c r="O360" s="84" t="s">
        <v>653</v>
      </c>
      <c r="P360" s="84" t="s">
        <v>215</v>
      </c>
      <c r="Q360" s="88" t="s">
        <v>1010</v>
      </c>
      <c r="R360" s="84" t="s">
        <v>559</v>
      </c>
      <c r="S360" s="84" t="s">
        <v>1397</v>
      </c>
      <c r="T360" s="90" t="str">
        <f>HYPERLINK("http://www.youtube.com/channel/UCT7EhBOXKaeI9SZz11eBaWw")</f>
        <v>http://www.youtube.com/channel/UCT7EhBOXKaeI9SZz11eBaWw</v>
      </c>
      <c r="U360" s="84"/>
      <c r="V360" s="84" t="s">
        <v>1488</v>
      </c>
      <c r="W360" s="90" t="str">
        <f>HYPERLINK("https://www.youtube.com/watch?v=f9psILoYmCc")</f>
        <v>https://www.youtube.com/watch?v=f9psILoYmCc</v>
      </c>
      <c r="X360" s="84" t="s">
        <v>1537</v>
      </c>
      <c r="Y360" s="84">
        <v>1</v>
      </c>
      <c r="Z360" s="93">
        <v>43315.31831018518</v>
      </c>
      <c r="AA360" s="93">
        <v>43315.31831018518</v>
      </c>
      <c r="AB360" s="84"/>
      <c r="AC360" s="84"/>
      <c r="AD360" s="88" t="s">
        <v>1874</v>
      </c>
      <c r="AE360" s="86">
        <v>1</v>
      </c>
      <c r="AF360" s="87" t="str">
        <f>REPLACE(INDEX(GroupVertices[Group],MATCH(Edges[[#This Row],[Vertex 1]],GroupVertices[Vertex],0)),1,1,"")</f>
        <v>1</v>
      </c>
      <c r="AG360" s="87" t="str">
        <f>REPLACE(INDEX(GroupVertices[Group],MATCH(Edges[[#This Row],[Vertex 2]],GroupVertices[Vertex],0)),1,1,"")</f>
        <v>1</v>
      </c>
      <c r="AH360" s="105"/>
      <c r="AI360" s="105"/>
      <c r="AJ360" s="105"/>
      <c r="AK360" s="105"/>
      <c r="AL360" s="105"/>
      <c r="AM360" s="105"/>
      <c r="AN360" s="105"/>
      <c r="AO360" s="105"/>
      <c r="AP360" s="105"/>
    </row>
    <row r="361" spans="1:42" ht="15">
      <c r="A361" s="61" t="s">
        <v>560</v>
      </c>
      <c r="B361" s="61" t="s">
        <v>651</v>
      </c>
      <c r="C361" s="62" t="s">
        <v>2891</v>
      </c>
      <c r="D361" s="63">
        <v>5</v>
      </c>
      <c r="E361" s="62"/>
      <c r="F361" s="65">
        <v>25</v>
      </c>
      <c r="G361" s="62"/>
      <c r="H361" s="66"/>
      <c r="I361" s="67"/>
      <c r="J361" s="67"/>
      <c r="K361" s="31" t="s">
        <v>65</v>
      </c>
      <c r="L361" s="68">
        <v>361</v>
      </c>
      <c r="M361" s="68"/>
      <c r="N361" s="69"/>
      <c r="O361" s="84" t="s">
        <v>653</v>
      </c>
      <c r="P361" s="84" t="s">
        <v>215</v>
      </c>
      <c r="Q361" s="88" t="s">
        <v>1011</v>
      </c>
      <c r="R361" s="84" t="s">
        <v>560</v>
      </c>
      <c r="S361" s="84" t="s">
        <v>1398</v>
      </c>
      <c r="T361" s="90" t="str">
        <f>HYPERLINK("http://www.youtube.com/channel/UC-dKFKSvA2oRqawK73zMNYw")</f>
        <v>http://www.youtube.com/channel/UC-dKFKSvA2oRqawK73zMNYw</v>
      </c>
      <c r="U361" s="84"/>
      <c r="V361" s="84" t="s">
        <v>1488</v>
      </c>
      <c r="W361" s="90" t="str">
        <f>HYPERLINK("https://www.youtube.com/watch?v=f9psILoYmCc")</f>
        <v>https://www.youtube.com/watch?v=f9psILoYmCc</v>
      </c>
      <c r="X361" s="84" t="s">
        <v>1537</v>
      </c>
      <c r="Y361" s="84">
        <v>81</v>
      </c>
      <c r="Z361" s="93">
        <v>43346.784849537034</v>
      </c>
      <c r="AA361" s="93">
        <v>43346.786469907405</v>
      </c>
      <c r="AB361" s="84"/>
      <c r="AC361" s="84"/>
      <c r="AD361" s="88" t="s">
        <v>1874</v>
      </c>
      <c r="AE361" s="86">
        <v>1</v>
      </c>
      <c r="AF361" s="87" t="str">
        <f>REPLACE(INDEX(GroupVertices[Group],MATCH(Edges[[#This Row],[Vertex 1]],GroupVertices[Vertex],0)),1,1,"")</f>
        <v>1</v>
      </c>
      <c r="AG361" s="87" t="str">
        <f>REPLACE(INDEX(GroupVertices[Group],MATCH(Edges[[#This Row],[Vertex 2]],GroupVertices[Vertex],0)),1,1,"")</f>
        <v>1</v>
      </c>
      <c r="AH361" s="105"/>
      <c r="AI361" s="105"/>
      <c r="AJ361" s="105"/>
      <c r="AK361" s="105"/>
      <c r="AL361" s="105"/>
      <c r="AM361" s="105"/>
      <c r="AN361" s="105"/>
      <c r="AO361" s="105"/>
      <c r="AP361" s="105"/>
    </row>
    <row r="362" spans="1:42" ht="15">
      <c r="A362" s="61" t="s">
        <v>561</v>
      </c>
      <c r="B362" s="61" t="s">
        <v>651</v>
      </c>
      <c r="C362" s="62" t="s">
        <v>2891</v>
      </c>
      <c r="D362" s="63">
        <v>5</v>
      </c>
      <c r="E362" s="62"/>
      <c r="F362" s="65">
        <v>25</v>
      </c>
      <c r="G362" s="62"/>
      <c r="H362" s="66"/>
      <c r="I362" s="67"/>
      <c r="J362" s="67"/>
      <c r="K362" s="31" t="s">
        <v>65</v>
      </c>
      <c r="L362" s="68">
        <v>362</v>
      </c>
      <c r="M362" s="68"/>
      <c r="N362" s="69"/>
      <c r="O362" s="84" t="s">
        <v>653</v>
      </c>
      <c r="P362" s="84" t="s">
        <v>215</v>
      </c>
      <c r="Q362" s="88" t="s">
        <v>1012</v>
      </c>
      <c r="R362" s="84" t="s">
        <v>561</v>
      </c>
      <c r="S362" s="84" t="s">
        <v>1399</v>
      </c>
      <c r="T362" s="90" t="str">
        <f>HYPERLINK("http://www.youtube.com/channel/UC2kr6LJovxi3DppRbXF_lIQ")</f>
        <v>http://www.youtube.com/channel/UC2kr6LJovxi3DppRbXF_lIQ</v>
      </c>
      <c r="U362" s="84"/>
      <c r="V362" s="84" t="s">
        <v>1488</v>
      </c>
      <c r="W362" s="90" t="str">
        <f>HYPERLINK("https://www.youtube.com/watch?v=f9psILoYmCc")</f>
        <v>https://www.youtube.com/watch?v=f9psILoYmCc</v>
      </c>
      <c r="X362" s="84" t="s">
        <v>1537</v>
      </c>
      <c r="Y362" s="84">
        <v>510</v>
      </c>
      <c r="Z362" s="93">
        <v>43407.72550925926</v>
      </c>
      <c r="AA362" s="93">
        <v>43407.72550925926</v>
      </c>
      <c r="AB362" s="84"/>
      <c r="AC362" s="84"/>
      <c r="AD362" s="88" t="s">
        <v>1874</v>
      </c>
      <c r="AE362" s="86">
        <v>1</v>
      </c>
      <c r="AF362" s="87" t="str">
        <f>REPLACE(INDEX(GroupVertices[Group],MATCH(Edges[[#This Row],[Vertex 1]],GroupVertices[Vertex],0)),1,1,"")</f>
        <v>1</v>
      </c>
      <c r="AG362" s="87" t="str">
        <f>REPLACE(INDEX(GroupVertices[Group],MATCH(Edges[[#This Row],[Vertex 2]],GroupVertices[Vertex],0)),1,1,"")</f>
        <v>1</v>
      </c>
      <c r="AH362" s="105"/>
      <c r="AI362" s="105"/>
      <c r="AJ362" s="105"/>
      <c r="AK362" s="105"/>
      <c r="AL362" s="105"/>
      <c r="AM362" s="105"/>
      <c r="AN362" s="105"/>
      <c r="AO362" s="105"/>
      <c r="AP362" s="105"/>
    </row>
    <row r="363" spans="1:42" ht="15">
      <c r="A363" s="61" t="s">
        <v>562</v>
      </c>
      <c r="B363" s="61" t="s">
        <v>651</v>
      </c>
      <c r="C363" s="62" t="s">
        <v>2891</v>
      </c>
      <c r="D363" s="63">
        <v>5</v>
      </c>
      <c r="E363" s="62"/>
      <c r="F363" s="65">
        <v>25</v>
      </c>
      <c r="G363" s="62"/>
      <c r="H363" s="66"/>
      <c r="I363" s="67"/>
      <c r="J363" s="67"/>
      <c r="K363" s="31" t="s">
        <v>65</v>
      </c>
      <c r="L363" s="68">
        <v>363</v>
      </c>
      <c r="M363" s="68"/>
      <c r="N363" s="69"/>
      <c r="O363" s="84" t="s">
        <v>653</v>
      </c>
      <c r="P363" s="84" t="s">
        <v>215</v>
      </c>
      <c r="Q363" s="88" t="s">
        <v>1013</v>
      </c>
      <c r="R363" s="84" t="s">
        <v>562</v>
      </c>
      <c r="S363" s="84" t="s">
        <v>1400</v>
      </c>
      <c r="T363" s="90" t="str">
        <f>HYPERLINK("http://www.youtube.com/channel/UClGESSQ9_CIkK1Igid6TRbQ")</f>
        <v>http://www.youtube.com/channel/UClGESSQ9_CIkK1Igid6TRbQ</v>
      </c>
      <c r="U363" s="84"/>
      <c r="V363" s="84" t="s">
        <v>1488</v>
      </c>
      <c r="W363" s="90" t="str">
        <f>HYPERLINK("https://www.youtube.com/watch?v=f9psILoYmCc")</f>
        <v>https://www.youtube.com/watch?v=f9psILoYmCc</v>
      </c>
      <c r="X363" s="84" t="s">
        <v>1537</v>
      </c>
      <c r="Y363" s="84">
        <v>0</v>
      </c>
      <c r="Z363" s="84" t="s">
        <v>1757</v>
      </c>
      <c r="AA363" s="84" t="s">
        <v>1757</v>
      </c>
      <c r="AB363" s="84"/>
      <c r="AC363" s="84"/>
      <c r="AD363" s="88" t="s">
        <v>1874</v>
      </c>
      <c r="AE363" s="86">
        <v>1</v>
      </c>
      <c r="AF363" s="87" t="str">
        <f>REPLACE(INDEX(GroupVertices[Group],MATCH(Edges[[#This Row],[Vertex 1]],GroupVertices[Vertex],0)),1,1,"")</f>
        <v>1</v>
      </c>
      <c r="AG363" s="87" t="str">
        <f>REPLACE(INDEX(GroupVertices[Group],MATCH(Edges[[#This Row],[Vertex 2]],GroupVertices[Vertex],0)),1,1,"")</f>
        <v>1</v>
      </c>
      <c r="AH363" s="105"/>
      <c r="AI363" s="105"/>
      <c r="AJ363" s="105"/>
      <c r="AK363" s="105"/>
      <c r="AL363" s="105"/>
      <c r="AM363" s="105"/>
      <c r="AN363" s="105"/>
      <c r="AO363" s="105"/>
      <c r="AP363" s="105"/>
    </row>
    <row r="364" spans="1:42" ht="15">
      <c r="A364" s="61" t="s">
        <v>563</v>
      </c>
      <c r="B364" s="61" t="s">
        <v>651</v>
      </c>
      <c r="C364" s="62" t="s">
        <v>2891</v>
      </c>
      <c r="D364" s="63">
        <v>5</v>
      </c>
      <c r="E364" s="62"/>
      <c r="F364" s="65">
        <v>25</v>
      </c>
      <c r="G364" s="62"/>
      <c r="H364" s="66"/>
      <c r="I364" s="67"/>
      <c r="J364" s="67"/>
      <c r="K364" s="31" t="s">
        <v>65</v>
      </c>
      <c r="L364" s="68">
        <v>364</v>
      </c>
      <c r="M364" s="68"/>
      <c r="N364" s="69"/>
      <c r="O364" s="84" t="s">
        <v>653</v>
      </c>
      <c r="P364" s="84" t="s">
        <v>215</v>
      </c>
      <c r="Q364" s="88" t="s">
        <v>1014</v>
      </c>
      <c r="R364" s="84" t="s">
        <v>563</v>
      </c>
      <c r="S364" s="84" t="s">
        <v>1401</v>
      </c>
      <c r="T364" s="90" t="str">
        <f>HYPERLINK("http://www.youtube.com/channel/UC6mnnA13-i-8E03dCg4RsYw")</f>
        <v>http://www.youtube.com/channel/UC6mnnA13-i-8E03dCg4RsYw</v>
      </c>
      <c r="U364" s="84"/>
      <c r="V364" s="84" t="s">
        <v>1488</v>
      </c>
      <c r="W364" s="90" t="str">
        <f>HYPERLINK("https://www.youtube.com/watch?v=f9psILoYmCc")</f>
        <v>https://www.youtube.com/watch?v=f9psILoYmCc</v>
      </c>
      <c r="X364" s="84" t="s">
        <v>1537</v>
      </c>
      <c r="Y364" s="84">
        <v>18</v>
      </c>
      <c r="Z364" s="84" t="s">
        <v>1758</v>
      </c>
      <c r="AA364" s="84" t="s">
        <v>1852</v>
      </c>
      <c r="AB364" s="84" t="s">
        <v>1866</v>
      </c>
      <c r="AC364" s="84" t="s">
        <v>1869</v>
      </c>
      <c r="AD364" s="88" t="s">
        <v>1874</v>
      </c>
      <c r="AE364" s="86">
        <v>1</v>
      </c>
      <c r="AF364" s="87" t="str">
        <f>REPLACE(INDEX(GroupVertices[Group],MATCH(Edges[[#This Row],[Vertex 1]],GroupVertices[Vertex],0)),1,1,"")</f>
        <v>1</v>
      </c>
      <c r="AG364" s="87" t="str">
        <f>REPLACE(INDEX(GroupVertices[Group],MATCH(Edges[[#This Row],[Vertex 2]],GroupVertices[Vertex],0)),1,1,"")</f>
        <v>1</v>
      </c>
      <c r="AH364" s="105"/>
      <c r="AI364" s="105"/>
      <c r="AJ364" s="105"/>
      <c r="AK364" s="105"/>
      <c r="AL364" s="105"/>
      <c r="AM364" s="105"/>
      <c r="AN364" s="105"/>
      <c r="AO364" s="105"/>
      <c r="AP364" s="105"/>
    </row>
    <row r="365" spans="1:42" ht="15">
      <c r="A365" s="61" t="s">
        <v>564</v>
      </c>
      <c r="B365" s="61" t="s">
        <v>651</v>
      </c>
      <c r="C365" s="62" t="s">
        <v>2891</v>
      </c>
      <c r="D365" s="63">
        <v>5</v>
      </c>
      <c r="E365" s="62"/>
      <c r="F365" s="65">
        <v>25</v>
      </c>
      <c r="G365" s="62"/>
      <c r="H365" s="66"/>
      <c r="I365" s="67"/>
      <c r="J365" s="67"/>
      <c r="K365" s="31" t="s">
        <v>65</v>
      </c>
      <c r="L365" s="68">
        <v>365</v>
      </c>
      <c r="M365" s="68"/>
      <c r="N365" s="69"/>
      <c r="O365" s="84" t="s">
        <v>653</v>
      </c>
      <c r="P365" s="84" t="s">
        <v>215</v>
      </c>
      <c r="Q365" s="88" t="s">
        <v>1015</v>
      </c>
      <c r="R365" s="84" t="s">
        <v>564</v>
      </c>
      <c r="S365" s="84" t="s">
        <v>1402</v>
      </c>
      <c r="T365" s="90" t="str">
        <f>HYPERLINK("http://www.youtube.com/channel/UCUuAP5kn-u5gbBwnHsCWn1w")</f>
        <v>http://www.youtube.com/channel/UCUuAP5kn-u5gbBwnHsCWn1w</v>
      </c>
      <c r="U365" s="84"/>
      <c r="V365" s="84" t="s">
        <v>1488</v>
      </c>
      <c r="W365" s="90" t="str">
        <f>HYPERLINK("https://www.youtube.com/watch?v=f9psILoYmCc")</f>
        <v>https://www.youtube.com/watch?v=f9psILoYmCc</v>
      </c>
      <c r="X365" s="84" t="s">
        <v>1537</v>
      </c>
      <c r="Y365" s="84">
        <v>4</v>
      </c>
      <c r="Z365" s="84" t="s">
        <v>1759</v>
      </c>
      <c r="AA365" s="84" t="s">
        <v>1759</v>
      </c>
      <c r="AB365" s="84"/>
      <c r="AC365" s="84"/>
      <c r="AD365" s="88" t="s">
        <v>1874</v>
      </c>
      <c r="AE365" s="86">
        <v>1</v>
      </c>
      <c r="AF365" s="87" t="str">
        <f>REPLACE(INDEX(GroupVertices[Group],MATCH(Edges[[#This Row],[Vertex 1]],GroupVertices[Vertex],0)),1,1,"")</f>
        <v>1</v>
      </c>
      <c r="AG365" s="87" t="str">
        <f>REPLACE(INDEX(GroupVertices[Group],MATCH(Edges[[#This Row],[Vertex 2]],GroupVertices[Vertex],0)),1,1,"")</f>
        <v>1</v>
      </c>
      <c r="AH365" s="105"/>
      <c r="AI365" s="105"/>
      <c r="AJ365" s="105"/>
      <c r="AK365" s="105"/>
      <c r="AL365" s="105"/>
      <c r="AM365" s="105"/>
      <c r="AN365" s="105"/>
      <c r="AO365" s="105"/>
      <c r="AP365" s="105"/>
    </row>
    <row r="366" spans="1:42" ht="15">
      <c r="A366" s="61" t="s">
        <v>565</v>
      </c>
      <c r="B366" s="61" t="s">
        <v>651</v>
      </c>
      <c r="C366" s="62" t="s">
        <v>2891</v>
      </c>
      <c r="D366" s="63">
        <v>5</v>
      </c>
      <c r="E366" s="62"/>
      <c r="F366" s="65">
        <v>25</v>
      </c>
      <c r="G366" s="62"/>
      <c r="H366" s="66"/>
      <c r="I366" s="67"/>
      <c r="J366" s="67"/>
      <c r="K366" s="31" t="s">
        <v>65</v>
      </c>
      <c r="L366" s="68">
        <v>366</v>
      </c>
      <c r="M366" s="68"/>
      <c r="N366" s="69"/>
      <c r="O366" s="84" t="s">
        <v>653</v>
      </c>
      <c r="P366" s="84" t="s">
        <v>215</v>
      </c>
      <c r="Q366" s="88" t="s">
        <v>1016</v>
      </c>
      <c r="R366" s="84" t="s">
        <v>565</v>
      </c>
      <c r="S366" s="84" t="s">
        <v>1403</v>
      </c>
      <c r="T366" s="90" t="str">
        <f>HYPERLINK("http://www.youtube.com/channel/UC4Td2571F17COgRA2UAIvIQ")</f>
        <v>http://www.youtube.com/channel/UC4Td2571F17COgRA2UAIvIQ</v>
      </c>
      <c r="U366" s="84"/>
      <c r="V366" s="84" t="s">
        <v>1488</v>
      </c>
      <c r="W366" s="90" t="str">
        <f>HYPERLINK("https://www.youtube.com/watch?v=f9psILoYmCc")</f>
        <v>https://www.youtube.com/watch?v=f9psILoYmCc</v>
      </c>
      <c r="X366" s="84" t="s">
        <v>1537</v>
      </c>
      <c r="Y366" s="84">
        <v>25</v>
      </c>
      <c r="Z366" s="93">
        <v>43224.320289351854</v>
      </c>
      <c r="AA366" s="93">
        <v>43224.320289351854</v>
      </c>
      <c r="AB366" s="84"/>
      <c r="AC366" s="84"/>
      <c r="AD366" s="88" t="s">
        <v>1874</v>
      </c>
      <c r="AE366" s="86">
        <v>1</v>
      </c>
      <c r="AF366" s="87" t="str">
        <f>REPLACE(INDEX(GroupVertices[Group],MATCH(Edges[[#This Row],[Vertex 1]],GroupVertices[Vertex],0)),1,1,"")</f>
        <v>1</v>
      </c>
      <c r="AG366" s="87" t="str">
        <f>REPLACE(INDEX(GroupVertices[Group],MATCH(Edges[[#This Row],[Vertex 2]],GroupVertices[Vertex],0)),1,1,"")</f>
        <v>1</v>
      </c>
      <c r="AH366" s="105"/>
      <c r="AI366" s="105"/>
      <c r="AJ366" s="105"/>
      <c r="AK366" s="105"/>
      <c r="AL366" s="105"/>
      <c r="AM366" s="105"/>
      <c r="AN366" s="105"/>
      <c r="AO366" s="105"/>
      <c r="AP366" s="105"/>
    </row>
    <row r="367" spans="1:42" ht="15">
      <c r="A367" s="61" t="s">
        <v>566</v>
      </c>
      <c r="B367" s="61" t="s">
        <v>651</v>
      </c>
      <c r="C367" s="62" t="s">
        <v>2891</v>
      </c>
      <c r="D367" s="63">
        <v>5</v>
      </c>
      <c r="E367" s="62"/>
      <c r="F367" s="65">
        <v>25</v>
      </c>
      <c r="G367" s="62"/>
      <c r="H367" s="66"/>
      <c r="I367" s="67"/>
      <c r="J367" s="67"/>
      <c r="K367" s="31" t="s">
        <v>65</v>
      </c>
      <c r="L367" s="68">
        <v>367</v>
      </c>
      <c r="M367" s="68"/>
      <c r="N367" s="69"/>
      <c r="O367" s="84" t="s">
        <v>653</v>
      </c>
      <c r="P367" s="84" t="s">
        <v>215</v>
      </c>
      <c r="Q367" s="88" t="s">
        <v>1017</v>
      </c>
      <c r="R367" s="84" t="s">
        <v>566</v>
      </c>
      <c r="S367" s="84" t="s">
        <v>1404</v>
      </c>
      <c r="T367" s="90" t="str">
        <f>HYPERLINK("http://www.youtube.com/channel/UC6VlnFJ2PE-L4WJC6d50Fhw")</f>
        <v>http://www.youtube.com/channel/UC6VlnFJ2PE-L4WJC6d50Fhw</v>
      </c>
      <c r="U367" s="84"/>
      <c r="V367" s="84" t="s">
        <v>1488</v>
      </c>
      <c r="W367" s="90" t="str">
        <f>HYPERLINK("https://www.youtube.com/watch?v=f9psILoYmCc")</f>
        <v>https://www.youtube.com/watch?v=f9psILoYmCc</v>
      </c>
      <c r="X367" s="84" t="s">
        <v>1537</v>
      </c>
      <c r="Y367" s="84">
        <v>30</v>
      </c>
      <c r="Z367" s="84" t="s">
        <v>1760</v>
      </c>
      <c r="AA367" s="84" t="s">
        <v>1760</v>
      </c>
      <c r="AB367" s="84"/>
      <c r="AC367" s="84"/>
      <c r="AD367" s="88" t="s">
        <v>1874</v>
      </c>
      <c r="AE367" s="86">
        <v>1</v>
      </c>
      <c r="AF367" s="87" t="str">
        <f>REPLACE(INDEX(GroupVertices[Group],MATCH(Edges[[#This Row],[Vertex 1]],GroupVertices[Vertex],0)),1,1,"")</f>
        <v>1</v>
      </c>
      <c r="AG367" s="87" t="str">
        <f>REPLACE(INDEX(GroupVertices[Group],MATCH(Edges[[#This Row],[Vertex 2]],GroupVertices[Vertex],0)),1,1,"")</f>
        <v>1</v>
      </c>
      <c r="AH367" s="105"/>
      <c r="AI367" s="105"/>
      <c r="AJ367" s="105"/>
      <c r="AK367" s="105"/>
      <c r="AL367" s="105"/>
      <c r="AM367" s="105"/>
      <c r="AN367" s="105"/>
      <c r="AO367" s="105"/>
      <c r="AP367" s="105"/>
    </row>
    <row r="368" spans="1:42" ht="15">
      <c r="A368" s="61" t="s">
        <v>567</v>
      </c>
      <c r="B368" s="61" t="s">
        <v>651</v>
      </c>
      <c r="C368" s="62" t="s">
        <v>2891</v>
      </c>
      <c r="D368" s="63">
        <v>5</v>
      </c>
      <c r="E368" s="62"/>
      <c r="F368" s="65">
        <v>25</v>
      </c>
      <c r="G368" s="62"/>
      <c r="H368" s="66"/>
      <c r="I368" s="67"/>
      <c r="J368" s="67"/>
      <c r="K368" s="31" t="s">
        <v>65</v>
      </c>
      <c r="L368" s="68">
        <v>368</v>
      </c>
      <c r="M368" s="68"/>
      <c r="N368" s="69"/>
      <c r="O368" s="84" t="s">
        <v>653</v>
      </c>
      <c r="P368" s="84" t="s">
        <v>215</v>
      </c>
      <c r="Q368" s="88" t="s">
        <v>1018</v>
      </c>
      <c r="R368" s="84" t="s">
        <v>567</v>
      </c>
      <c r="S368" s="84" t="s">
        <v>1405</v>
      </c>
      <c r="T368" s="90" t="str">
        <f>HYPERLINK("http://www.youtube.com/channel/UCBuI5BeXFR7Qb2yYB-TLqsw")</f>
        <v>http://www.youtube.com/channel/UCBuI5BeXFR7Qb2yYB-TLqsw</v>
      </c>
      <c r="U368" s="84"/>
      <c r="V368" s="84" t="s">
        <v>1488</v>
      </c>
      <c r="W368" s="90" t="str">
        <f>HYPERLINK("https://www.youtube.com/watch?v=f9psILoYmCc")</f>
        <v>https://www.youtube.com/watch?v=f9psILoYmCc</v>
      </c>
      <c r="X368" s="84" t="s">
        <v>1537</v>
      </c>
      <c r="Y368" s="84">
        <v>2</v>
      </c>
      <c r="Z368" s="84" t="s">
        <v>1761</v>
      </c>
      <c r="AA368" s="84" t="s">
        <v>1761</v>
      </c>
      <c r="AB368" s="84"/>
      <c r="AC368" s="84"/>
      <c r="AD368" s="88" t="s">
        <v>1874</v>
      </c>
      <c r="AE368" s="86">
        <v>1</v>
      </c>
      <c r="AF368" s="87" t="str">
        <f>REPLACE(INDEX(GroupVertices[Group],MATCH(Edges[[#This Row],[Vertex 1]],GroupVertices[Vertex],0)),1,1,"")</f>
        <v>1</v>
      </c>
      <c r="AG368" s="87" t="str">
        <f>REPLACE(INDEX(GroupVertices[Group],MATCH(Edges[[#This Row],[Vertex 2]],GroupVertices[Vertex],0)),1,1,"")</f>
        <v>1</v>
      </c>
      <c r="AH368" s="105"/>
      <c r="AI368" s="105"/>
      <c r="AJ368" s="105"/>
      <c r="AK368" s="105"/>
      <c r="AL368" s="105"/>
      <c r="AM368" s="105"/>
      <c r="AN368" s="105"/>
      <c r="AO368" s="105"/>
      <c r="AP368" s="105"/>
    </row>
    <row r="369" spans="1:42" ht="15">
      <c r="A369" s="61" t="s">
        <v>568</v>
      </c>
      <c r="B369" s="61" t="s">
        <v>651</v>
      </c>
      <c r="C369" s="62" t="s">
        <v>2891</v>
      </c>
      <c r="D369" s="63">
        <v>5</v>
      </c>
      <c r="E369" s="62"/>
      <c r="F369" s="65">
        <v>25</v>
      </c>
      <c r="G369" s="62"/>
      <c r="H369" s="66"/>
      <c r="I369" s="67"/>
      <c r="J369" s="67"/>
      <c r="K369" s="31" t="s">
        <v>65</v>
      </c>
      <c r="L369" s="68">
        <v>369</v>
      </c>
      <c r="M369" s="68"/>
      <c r="N369" s="69"/>
      <c r="O369" s="84" t="s">
        <v>653</v>
      </c>
      <c r="P369" s="84" t="s">
        <v>215</v>
      </c>
      <c r="Q369" s="88" t="s">
        <v>1019</v>
      </c>
      <c r="R369" s="84" t="s">
        <v>568</v>
      </c>
      <c r="S369" s="84" t="s">
        <v>1406</v>
      </c>
      <c r="T369" s="90" t="str">
        <f>HYPERLINK("http://www.youtube.com/channel/UCqi0eJx11pQuo3DAzULs3Sg")</f>
        <v>http://www.youtube.com/channel/UCqi0eJx11pQuo3DAzULs3Sg</v>
      </c>
      <c r="U369" s="84"/>
      <c r="V369" s="84" t="s">
        <v>1488</v>
      </c>
      <c r="W369" s="90" t="str">
        <f>HYPERLINK("https://www.youtube.com/watch?v=f9psILoYmCc")</f>
        <v>https://www.youtube.com/watch?v=f9psILoYmCc</v>
      </c>
      <c r="X369" s="84" t="s">
        <v>1537</v>
      </c>
      <c r="Y369" s="84">
        <v>0</v>
      </c>
      <c r="Z369" s="84" t="s">
        <v>1762</v>
      </c>
      <c r="AA369" s="84" t="s">
        <v>1762</v>
      </c>
      <c r="AB369" s="84"/>
      <c r="AC369" s="84"/>
      <c r="AD369" s="88" t="s">
        <v>1874</v>
      </c>
      <c r="AE369" s="86">
        <v>1</v>
      </c>
      <c r="AF369" s="87" t="str">
        <f>REPLACE(INDEX(GroupVertices[Group],MATCH(Edges[[#This Row],[Vertex 1]],GroupVertices[Vertex],0)),1,1,"")</f>
        <v>1</v>
      </c>
      <c r="AG369" s="87" t="str">
        <f>REPLACE(INDEX(GroupVertices[Group],MATCH(Edges[[#This Row],[Vertex 2]],GroupVertices[Vertex],0)),1,1,"")</f>
        <v>1</v>
      </c>
      <c r="AH369" s="105"/>
      <c r="AI369" s="105"/>
      <c r="AJ369" s="105"/>
      <c r="AK369" s="105"/>
      <c r="AL369" s="105"/>
      <c r="AM369" s="105"/>
      <c r="AN369" s="105"/>
      <c r="AO369" s="105"/>
      <c r="AP369" s="105"/>
    </row>
    <row r="370" spans="1:42" ht="15">
      <c r="A370" s="61" t="s">
        <v>569</v>
      </c>
      <c r="B370" s="61" t="s">
        <v>651</v>
      </c>
      <c r="C370" s="62" t="s">
        <v>2891</v>
      </c>
      <c r="D370" s="63">
        <v>5</v>
      </c>
      <c r="E370" s="62"/>
      <c r="F370" s="65">
        <v>25</v>
      </c>
      <c r="G370" s="62"/>
      <c r="H370" s="66"/>
      <c r="I370" s="67"/>
      <c r="J370" s="67"/>
      <c r="K370" s="31" t="s">
        <v>65</v>
      </c>
      <c r="L370" s="68">
        <v>370</v>
      </c>
      <c r="M370" s="68"/>
      <c r="N370" s="69"/>
      <c r="O370" s="84" t="s">
        <v>653</v>
      </c>
      <c r="P370" s="84" t="s">
        <v>215</v>
      </c>
      <c r="Q370" s="88" t="s">
        <v>1020</v>
      </c>
      <c r="R370" s="84" t="s">
        <v>569</v>
      </c>
      <c r="S370" s="84" t="s">
        <v>1407</v>
      </c>
      <c r="T370" s="90" t="str">
        <f>HYPERLINK("http://www.youtube.com/channel/UCbmyWohLP1LoDEUqH29nIsw")</f>
        <v>http://www.youtube.com/channel/UCbmyWohLP1LoDEUqH29nIsw</v>
      </c>
      <c r="U370" s="84"/>
      <c r="V370" s="84" t="s">
        <v>1488</v>
      </c>
      <c r="W370" s="90" t="str">
        <f>HYPERLINK("https://www.youtube.com/watch?v=f9psILoYmCc")</f>
        <v>https://www.youtube.com/watch?v=f9psILoYmCc</v>
      </c>
      <c r="X370" s="84" t="s">
        <v>1537</v>
      </c>
      <c r="Y370" s="84">
        <v>2</v>
      </c>
      <c r="Z370" s="84" t="s">
        <v>1763</v>
      </c>
      <c r="AA370" s="84" t="s">
        <v>1763</v>
      </c>
      <c r="AB370" s="84"/>
      <c r="AC370" s="84"/>
      <c r="AD370" s="88" t="s">
        <v>1874</v>
      </c>
      <c r="AE370" s="86">
        <v>1</v>
      </c>
      <c r="AF370" s="87" t="str">
        <f>REPLACE(INDEX(GroupVertices[Group],MATCH(Edges[[#This Row],[Vertex 1]],GroupVertices[Vertex],0)),1,1,"")</f>
        <v>1</v>
      </c>
      <c r="AG370" s="87" t="str">
        <f>REPLACE(INDEX(GroupVertices[Group],MATCH(Edges[[#This Row],[Vertex 2]],GroupVertices[Vertex],0)),1,1,"")</f>
        <v>1</v>
      </c>
      <c r="AH370" s="105"/>
      <c r="AI370" s="105"/>
      <c r="AJ370" s="105"/>
      <c r="AK370" s="105"/>
      <c r="AL370" s="105"/>
      <c r="AM370" s="105"/>
      <c r="AN370" s="105"/>
      <c r="AO370" s="105"/>
      <c r="AP370" s="105"/>
    </row>
    <row r="371" spans="1:42" ht="15">
      <c r="A371" s="61" t="s">
        <v>570</v>
      </c>
      <c r="B371" s="61" t="s">
        <v>651</v>
      </c>
      <c r="C371" s="62" t="s">
        <v>2891</v>
      </c>
      <c r="D371" s="63">
        <v>5</v>
      </c>
      <c r="E371" s="62"/>
      <c r="F371" s="65">
        <v>25</v>
      </c>
      <c r="G371" s="62"/>
      <c r="H371" s="66"/>
      <c r="I371" s="67"/>
      <c r="J371" s="67"/>
      <c r="K371" s="31" t="s">
        <v>65</v>
      </c>
      <c r="L371" s="68">
        <v>371</v>
      </c>
      <c r="M371" s="68"/>
      <c r="N371" s="69"/>
      <c r="O371" s="84" t="s">
        <v>653</v>
      </c>
      <c r="P371" s="84" t="s">
        <v>215</v>
      </c>
      <c r="Q371" s="88" t="s">
        <v>1021</v>
      </c>
      <c r="R371" s="84" t="s">
        <v>570</v>
      </c>
      <c r="S371" s="84" t="s">
        <v>1408</v>
      </c>
      <c r="T371" s="90" t="str">
        <f>HYPERLINK("http://www.youtube.com/channel/UCg_FrU47GeUXK7JqYmafojQ")</f>
        <v>http://www.youtube.com/channel/UCg_FrU47GeUXK7JqYmafojQ</v>
      </c>
      <c r="U371" s="84"/>
      <c r="V371" s="84" t="s">
        <v>1488</v>
      </c>
      <c r="W371" s="90" t="str">
        <f>HYPERLINK("https://www.youtube.com/watch?v=f9psILoYmCc")</f>
        <v>https://www.youtube.com/watch?v=f9psILoYmCc</v>
      </c>
      <c r="X371" s="84" t="s">
        <v>1537</v>
      </c>
      <c r="Y371" s="84">
        <v>0</v>
      </c>
      <c r="Z371" s="84" t="s">
        <v>1764</v>
      </c>
      <c r="AA371" s="84" t="s">
        <v>1764</v>
      </c>
      <c r="AB371" s="84"/>
      <c r="AC371" s="84"/>
      <c r="AD371" s="88" t="s">
        <v>1874</v>
      </c>
      <c r="AE371" s="86">
        <v>1</v>
      </c>
      <c r="AF371" s="87" t="str">
        <f>REPLACE(INDEX(GroupVertices[Group],MATCH(Edges[[#This Row],[Vertex 1]],GroupVertices[Vertex],0)),1,1,"")</f>
        <v>1</v>
      </c>
      <c r="AG371" s="87" t="str">
        <f>REPLACE(INDEX(GroupVertices[Group],MATCH(Edges[[#This Row],[Vertex 2]],GroupVertices[Vertex],0)),1,1,"")</f>
        <v>1</v>
      </c>
      <c r="AH371" s="105"/>
      <c r="AI371" s="105"/>
      <c r="AJ371" s="105"/>
      <c r="AK371" s="105"/>
      <c r="AL371" s="105"/>
      <c r="AM371" s="105"/>
      <c r="AN371" s="105"/>
      <c r="AO371" s="105"/>
      <c r="AP371" s="105"/>
    </row>
    <row r="372" spans="1:42" ht="15">
      <c r="A372" s="61" t="s">
        <v>571</v>
      </c>
      <c r="B372" s="61" t="s">
        <v>651</v>
      </c>
      <c r="C372" s="62" t="s">
        <v>2891</v>
      </c>
      <c r="D372" s="63">
        <v>5</v>
      </c>
      <c r="E372" s="62"/>
      <c r="F372" s="65">
        <v>25</v>
      </c>
      <c r="G372" s="62"/>
      <c r="H372" s="66"/>
      <c r="I372" s="67"/>
      <c r="J372" s="67"/>
      <c r="K372" s="31" t="s">
        <v>65</v>
      </c>
      <c r="L372" s="68">
        <v>372</v>
      </c>
      <c r="M372" s="68"/>
      <c r="N372" s="69"/>
      <c r="O372" s="84" t="s">
        <v>653</v>
      </c>
      <c r="P372" s="84" t="s">
        <v>215</v>
      </c>
      <c r="Q372" s="88" t="s">
        <v>1022</v>
      </c>
      <c r="R372" s="84" t="s">
        <v>571</v>
      </c>
      <c r="S372" s="84" t="s">
        <v>1409</v>
      </c>
      <c r="T372" s="90" t="str">
        <f>HYPERLINK("http://www.youtube.com/channel/UCIeT0Bm2l-1-LcObMaO5RSw")</f>
        <v>http://www.youtube.com/channel/UCIeT0Bm2l-1-LcObMaO5RSw</v>
      </c>
      <c r="U372" s="84"/>
      <c r="V372" s="84" t="s">
        <v>1488</v>
      </c>
      <c r="W372" s="90" t="str">
        <f>HYPERLINK("https://www.youtube.com/watch?v=f9psILoYmCc")</f>
        <v>https://www.youtube.com/watch?v=f9psILoYmCc</v>
      </c>
      <c r="X372" s="84" t="s">
        <v>1537</v>
      </c>
      <c r="Y372" s="84">
        <v>2</v>
      </c>
      <c r="Z372" s="84" t="s">
        <v>1765</v>
      </c>
      <c r="AA372" s="84" t="s">
        <v>1765</v>
      </c>
      <c r="AB372" s="84"/>
      <c r="AC372" s="84"/>
      <c r="AD372" s="88" t="s">
        <v>1874</v>
      </c>
      <c r="AE372" s="86">
        <v>1</v>
      </c>
      <c r="AF372" s="87" t="str">
        <f>REPLACE(INDEX(GroupVertices[Group],MATCH(Edges[[#This Row],[Vertex 1]],GroupVertices[Vertex],0)),1,1,"")</f>
        <v>1</v>
      </c>
      <c r="AG372" s="87" t="str">
        <f>REPLACE(INDEX(GroupVertices[Group],MATCH(Edges[[#This Row],[Vertex 2]],GroupVertices[Vertex],0)),1,1,"")</f>
        <v>1</v>
      </c>
      <c r="AH372" s="105"/>
      <c r="AI372" s="105"/>
      <c r="AJ372" s="105"/>
      <c r="AK372" s="105"/>
      <c r="AL372" s="105"/>
      <c r="AM372" s="105"/>
      <c r="AN372" s="105"/>
      <c r="AO372" s="105"/>
      <c r="AP372" s="105"/>
    </row>
    <row r="373" spans="1:42" ht="15">
      <c r="A373" s="61" t="s">
        <v>572</v>
      </c>
      <c r="B373" s="61" t="s">
        <v>651</v>
      </c>
      <c r="C373" s="62" t="s">
        <v>2891</v>
      </c>
      <c r="D373" s="63">
        <v>5</v>
      </c>
      <c r="E373" s="62"/>
      <c r="F373" s="65">
        <v>25</v>
      </c>
      <c r="G373" s="62"/>
      <c r="H373" s="66"/>
      <c r="I373" s="67"/>
      <c r="J373" s="67"/>
      <c r="K373" s="31" t="s">
        <v>65</v>
      </c>
      <c r="L373" s="68">
        <v>373</v>
      </c>
      <c r="M373" s="68"/>
      <c r="N373" s="69"/>
      <c r="O373" s="84" t="s">
        <v>653</v>
      </c>
      <c r="P373" s="84" t="s">
        <v>215</v>
      </c>
      <c r="Q373" s="88" t="s">
        <v>1023</v>
      </c>
      <c r="R373" s="84" t="s">
        <v>572</v>
      </c>
      <c r="S373" s="84" t="s">
        <v>1410</v>
      </c>
      <c r="T373" s="90" t="str">
        <f>HYPERLINK("http://www.youtube.com/channel/UCq0nhgtEFh7UhoxBA4q2fig")</f>
        <v>http://www.youtube.com/channel/UCq0nhgtEFh7UhoxBA4q2fig</v>
      </c>
      <c r="U373" s="84"/>
      <c r="V373" s="84" t="s">
        <v>1488</v>
      </c>
      <c r="W373" s="90" t="str">
        <f>HYPERLINK("https://www.youtube.com/watch?v=f9psILoYmCc")</f>
        <v>https://www.youtube.com/watch?v=f9psILoYmCc</v>
      </c>
      <c r="X373" s="84" t="s">
        <v>1537</v>
      </c>
      <c r="Y373" s="84">
        <v>2</v>
      </c>
      <c r="Z373" s="84" t="s">
        <v>1766</v>
      </c>
      <c r="AA373" s="84" t="s">
        <v>1766</v>
      </c>
      <c r="AB373" s="84"/>
      <c r="AC373" s="84"/>
      <c r="AD373" s="88" t="s">
        <v>1874</v>
      </c>
      <c r="AE373" s="86">
        <v>1</v>
      </c>
      <c r="AF373" s="87" t="str">
        <f>REPLACE(INDEX(GroupVertices[Group],MATCH(Edges[[#This Row],[Vertex 1]],GroupVertices[Vertex],0)),1,1,"")</f>
        <v>1</v>
      </c>
      <c r="AG373" s="87" t="str">
        <f>REPLACE(INDEX(GroupVertices[Group],MATCH(Edges[[#This Row],[Vertex 2]],GroupVertices[Vertex],0)),1,1,"")</f>
        <v>1</v>
      </c>
      <c r="AH373" s="105"/>
      <c r="AI373" s="105"/>
      <c r="AJ373" s="105"/>
      <c r="AK373" s="105"/>
      <c r="AL373" s="105"/>
      <c r="AM373" s="105"/>
      <c r="AN373" s="105"/>
      <c r="AO373" s="105"/>
      <c r="AP373" s="105"/>
    </row>
    <row r="374" spans="1:42" ht="15">
      <c r="A374" s="61" t="s">
        <v>573</v>
      </c>
      <c r="B374" s="61" t="s">
        <v>651</v>
      </c>
      <c r="C374" s="62" t="s">
        <v>2891</v>
      </c>
      <c r="D374" s="63">
        <v>5</v>
      </c>
      <c r="E374" s="62"/>
      <c r="F374" s="65">
        <v>25</v>
      </c>
      <c r="G374" s="62"/>
      <c r="H374" s="66"/>
      <c r="I374" s="67"/>
      <c r="J374" s="67"/>
      <c r="K374" s="31" t="s">
        <v>65</v>
      </c>
      <c r="L374" s="68">
        <v>374</v>
      </c>
      <c r="M374" s="68"/>
      <c r="N374" s="69"/>
      <c r="O374" s="84" t="s">
        <v>653</v>
      </c>
      <c r="P374" s="84" t="s">
        <v>215</v>
      </c>
      <c r="Q374" s="88" t="s">
        <v>1024</v>
      </c>
      <c r="R374" s="84" t="s">
        <v>573</v>
      </c>
      <c r="S374" s="84" t="s">
        <v>1411</v>
      </c>
      <c r="T374" s="90" t="str">
        <f>HYPERLINK("http://www.youtube.com/channel/UCsogXGsI8hRJ5m715mxvCWQ")</f>
        <v>http://www.youtube.com/channel/UCsogXGsI8hRJ5m715mxvCWQ</v>
      </c>
      <c r="U374" s="84"/>
      <c r="V374" s="84" t="s">
        <v>1488</v>
      </c>
      <c r="W374" s="90" t="str">
        <f>HYPERLINK("https://www.youtube.com/watch?v=f9psILoYmCc")</f>
        <v>https://www.youtube.com/watch?v=f9psILoYmCc</v>
      </c>
      <c r="X374" s="84" t="s">
        <v>1537</v>
      </c>
      <c r="Y374" s="84">
        <v>1</v>
      </c>
      <c r="Z374" s="84" t="s">
        <v>1767</v>
      </c>
      <c r="AA374" s="84" t="s">
        <v>1767</v>
      </c>
      <c r="AB374" s="84"/>
      <c r="AC374" s="84"/>
      <c r="AD374" s="88" t="s">
        <v>1874</v>
      </c>
      <c r="AE374" s="86">
        <v>1</v>
      </c>
      <c r="AF374" s="87" t="str">
        <f>REPLACE(INDEX(GroupVertices[Group],MATCH(Edges[[#This Row],[Vertex 1]],GroupVertices[Vertex],0)),1,1,"")</f>
        <v>1</v>
      </c>
      <c r="AG374" s="87" t="str">
        <f>REPLACE(INDEX(GroupVertices[Group],MATCH(Edges[[#This Row],[Vertex 2]],GroupVertices[Vertex],0)),1,1,"")</f>
        <v>1</v>
      </c>
      <c r="AH374" s="105"/>
      <c r="AI374" s="105"/>
      <c r="AJ374" s="105"/>
      <c r="AK374" s="105"/>
      <c r="AL374" s="105"/>
      <c r="AM374" s="105"/>
      <c r="AN374" s="105"/>
      <c r="AO374" s="105"/>
      <c r="AP374" s="105"/>
    </row>
    <row r="375" spans="1:42" ht="15">
      <c r="A375" s="61" t="s">
        <v>574</v>
      </c>
      <c r="B375" s="61" t="s">
        <v>651</v>
      </c>
      <c r="C375" s="62" t="s">
        <v>2891</v>
      </c>
      <c r="D375" s="63">
        <v>5</v>
      </c>
      <c r="E375" s="62"/>
      <c r="F375" s="65">
        <v>25</v>
      </c>
      <c r="G375" s="62"/>
      <c r="H375" s="66"/>
      <c r="I375" s="67"/>
      <c r="J375" s="67"/>
      <c r="K375" s="31" t="s">
        <v>65</v>
      </c>
      <c r="L375" s="68">
        <v>375</v>
      </c>
      <c r="M375" s="68"/>
      <c r="N375" s="69"/>
      <c r="O375" s="84" t="s">
        <v>653</v>
      </c>
      <c r="P375" s="84" t="s">
        <v>215</v>
      </c>
      <c r="Q375" s="88" t="s">
        <v>1025</v>
      </c>
      <c r="R375" s="84" t="s">
        <v>574</v>
      </c>
      <c r="S375" s="84" t="s">
        <v>1412</v>
      </c>
      <c r="T375" s="90" t="str">
        <f>HYPERLINK("http://www.youtube.com/channel/UC_l25YJ5yelJH-xudRj8YkQ")</f>
        <v>http://www.youtube.com/channel/UC_l25YJ5yelJH-xudRj8YkQ</v>
      </c>
      <c r="U375" s="84"/>
      <c r="V375" s="84" t="s">
        <v>1488</v>
      </c>
      <c r="W375" s="90" t="str">
        <f>HYPERLINK("https://www.youtube.com/watch?v=f9psILoYmCc")</f>
        <v>https://www.youtube.com/watch?v=f9psILoYmCc</v>
      </c>
      <c r="X375" s="84" t="s">
        <v>1537</v>
      </c>
      <c r="Y375" s="84">
        <v>3</v>
      </c>
      <c r="Z375" s="93">
        <v>43225.08118055556</v>
      </c>
      <c r="AA375" s="93">
        <v>43225.08118055556</v>
      </c>
      <c r="AB375" s="84"/>
      <c r="AC375" s="84"/>
      <c r="AD375" s="88" t="s">
        <v>1874</v>
      </c>
      <c r="AE375" s="86">
        <v>1</v>
      </c>
      <c r="AF375" s="87" t="str">
        <f>REPLACE(INDEX(GroupVertices[Group],MATCH(Edges[[#This Row],[Vertex 1]],GroupVertices[Vertex],0)),1,1,"")</f>
        <v>1</v>
      </c>
      <c r="AG375" s="87" t="str">
        <f>REPLACE(INDEX(GroupVertices[Group],MATCH(Edges[[#This Row],[Vertex 2]],GroupVertices[Vertex],0)),1,1,"")</f>
        <v>1</v>
      </c>
      <c r="AH375" s="105"/>
      <c r="AI375" s="105"/>
      <c r="AJ375" s="105"/>
      <c r="AK375" s="105"/>
      <c r="AL375" s="105"/>
      <c r="AM375" s="105"/>
      <c r="AN375" s="105"/>
      <c r="AO375" s="105"/>
      <c r="AP375" s="105"/>
    </row>
    <row r="376" spans="1:42" ht="15">
      <c r="A376" s="61" t="s">
        <v>575</v>
      </c>
      <c r="B376" s="61" t="s">
        <v>651</v>
      </c>
      <c r="C376" s="62" t="s">
        <v>2891</v>
      </c>
      <c r="D376" s="63">
        <v>5</v>
      </c>
      <c r="E376" s="62"/>
      <c r="F376" s="65">
        <v>25</v>
      </c>
      <c r="G376" s="62"/>
      <c r="H376" s="66"/>
      <c r="I376" s="67"/>
      <c r="J376" s="67"/>
      <c r="K376" s="31" t="s">
        <v>65</v>
      </c>
      <c r="L376" s="68">
        <v>376</v>
      </c>
      <c r="M376" s="68"/>
      <c r="N376" s="69"/>
      <c r="O376" s="84" t="s">
        <v>653</v>
      </c>
      <c r="P376" s="84" t="s">
        <v>215</v>
      </c>
      <c r="Q376" s="88" t="s">
        <v>969</v>
      </c>
      <c r="R376" s="84" t="s">
        <v>575</v>
      </c>
      <c r="S376" s="84" t="s">
        <v>1413</v>
      </c>
      <c r="T376" s="90" t="str">
        <f>HYPERLINK("http://www.youtube.com/channel/UClZPxSff05u4qlf92KJoLFw")</f>
        <v>http://www.youtube.com/channel/UClZPxSff05u4qlf92KJoLFw</v>
      </c>
      <c r="U376" s="84"/>
      <c r="V376" s="84" t="s">
        <v>1488</v>
      </c>
      <c r="W376" s="90" t="str">
        <f>HYPERLINK("https://www.youtube.com/watch?v=f9psILoYmCc")</f>
        <v>https://www.youtube.com/watch?v=f9psILoYmCc</v>
      </c>
      <c r="X376" s="84" t="s">
        <v>1537</v>
      </c>
      <c r="Y376" s="84">
        <v>0</v>
      </c>
      <c r="Z376" s="93">
        <v>43256.31628472222</v>
      </c>
      <c r="AA376" s="93">
        <v>43256.31628472222</v>
      </c>
      <c r="AB376" s="84"/>
      <c r="AC376" s="84"/>
      <c r="AD376" s="88" t="s">
        <v>1874</v>
      </c>
      <c r="AE376" s="86">
        <v>1</v>
      </c>
      <c r="AF376" s="87" t="str">
        <f>REPLACE(INDEX(GroupVertices[Group],MATCH(Edges[[#This Row],[Vertex 1]],GroupVertices[Vertex],0)),1,1,"")</f>
        <v>1</v>
      </c>
      <c r="AG376" s="87" t="str">
        <f>REPLACE(INDEX(GroupVertices[Group],MATCH(Edges[[#This Row],[Vertex 2]],GroupVertices[Vertex],0)),1,1,"")</f>
        <v>1</v>
      </c>
      <c r="AH376" s="105"/>
      <c r="AI376" s="105"/>
      <c r="AJ376" s="105"/>
      <c r="AK376" s="105"/>
      <c r="AL376" s="105"/>
      <c r="AM376" s="105"/>
      <c r="AN376" s="105"/>
      <c r="AO376" s="105"/>
      <c r="AP376" s="105"/>
    </row>
    <row r="377" spans="1:42" ht="15">
      <c r="A377" s="61" t="s">
        <v>576</v>
      </c>
      <c r="B377" s="61" t="s">
        <v>651</v>
      </c>
      <c r="C377" s="62" t="s">
        <v>2891</v>
      </c>
      <c r="D377" s="63">
        <v>5</v>
      </c>
      <c r="E377" s="62"/>
      <c r="F377" s="65">
        <v>25</v>
      </c>
      <c r="G377" s="62"/>
      <c r="H377" s="66"/>
      <c r="I377" s="67"/>
      <c r="J377" s="67"/>
      <c r="K377" s="31" t="s">
        <v>65</v>
      </c>
      <c r="L377" s="68">
        <v>377</v>
      </c>
      <c r="M377" s="68"/>
      <c r="N377" s="69"/>
      <c r="O377" s="84" t="s">
        <v>653</v>
      </c>
      <c r="P377" s="84" t="s">
        <v>215</v>
      </c>
      <c r="Q377" s="88" t="s">
        <v>1026</v>
      </c>
      <c r="R377" s="84" t="s">
        <v>576</v>
      </c>
      <c r="S377" s="84" t="s">
        <v>1414</v>
      </c>
      <c r="T377" s="90" t="str">
        <f>HYPERLINK("http://www.youtube.com/channel/UCps0elc8IDTCqXTWGTbqdhw")</f>
        <v>http://www.youtube.com/channel/UCps0elc8IDTCqXTWGTbqdhw</v>
      </c>
      <c r="U377" s="84"/>
      <c r="V377" s="84" t="s">
        <v>1488</v>
      </c>
      <c r="W377" s="90" t="str">
        <f>HYPERLINK("https://www.youtube.com/watch?v=f9psILoYmCc")</f>
        <v>https://www.youtube.com/watch?v=f9psILoYmCc</v>
      </c>
      <c r="X377" s="84" t="s">
        <v>1537</v>
      </c>
      <c r="Y377" s="84">
        <v>0</v>
      </c>
      <c r="Z377" s="93">
        <v>43256.95450231482</v>
      </c>
      <c r="AA377" s="93">
        <v>43256.95450231482</v>
      </c>
      <c r="AB377" s="84"/>
      <c r="AC377" s="84"/>
      <c r="AD377" s="88" t="s">
        <v>1874</v>
      </c>
      <c r="AE377" s="86">
        <v>1</v>
      </c>
      <c r="AF377" s="87" t="str">
        <f>REPLACE(INDEX(GroupVertices[Group],MATCH(Edges[[#This Row],[Vertex 1]],GroupVertices[Vertex],0)),1,1,"")</f>
        <v>1</v>
      </c>
      <c r="AG377" s="87" t="str">
        <f>REPLACE(INDEX(GroupVertices[Group],MATCH(Edges[[#This Row],[Vertex 2]],GroupVertices[Vertex],0)),1,1,"")</f>
        <v>1</v>
      </c>
      <c r="AH377" s="105"/>
      <c r="AI377" s="105"/>
      <c r="AJ377" s="105"/>
      <c r="AK377" s="105"/>
      <c r="AL377" s="105"/>
      <c r="AM377" s="105"/>
      <c r="AN377" s="105"/>
      <c r="AO377" s="105"/>
      <c r="AP377" s="105"/>
    </row>
    <row r="378" spans="1:42" ht="15">
      <c r="A378" s="61" t="s">
        <v>577</v>
      </c>
      <c r="B378" s="61" t="s">
        <v>651</v>
      </c>
      <c r="C378" s="62" t="s">
        <v>2891</v>
      </c>
      <c r="D378" s="63">
        <v>5</v>
      </c>
      <c r="E378" s="62"/>
      <c r="F378" s="65">
        <v>25</v>
      </c>
      <c r="G378" s="62"/>
      <c r="H378" s="66"/>
      <c r="I378" s="67"/>
      <c r="J378" s="67"/>
      <c r="K378" s="31" t="s">
        <v>65</v>
      </c>
      <c r="L378" s="68">
        <v>378</v>
      </c>
      <c r="M378" s="68"/>
      <c r="N378" s="69"/>
      <c r="O378" s="84" t="s">
        <v>653</v>
      </c>
      <c r="P378" s="84" t="s">
        <v>215</v>
      </c>
      <c r="Q378" s="88" t="s">
        <v>1027</v>
      </c>
      <c r="R378" s="84" t="s">
        <v>577</v>
      </c>
      <c r="S378" s="84" t="s">
        <v>1415</v>
      </c>
      <c r="T378" s="90" t="str">
        <f>HYPERLINK("http://www.youtube.com/channel/UC9hcWrXpXWSxygdlZBV_7-A")</f>
        <v>http://www.youtube.com/channel/UC9hcWrXpXWSxygdlZBV_7-A</v>
      </c>
      <c r="U378" s="84"/>
      <c r="V378" s="84" t="s">
        <v>1488</v>
      </c>
      <c r="W378" s="90" t="str">
        <f>HYPERLINK("https://www.youtube.com/watch?v=f9psILoYmCc")</f>
        <v>https://www.youtube.com/watch?v=f9psILoYmCc</v>
      </c>
      <c r="X378" s="84" t="s">
        <v>1537</v>
      </c>
      <c r="Y378" s="84">
        <v>5</v>
      </c>
      <c r="Z378" s="84" t="s">
        <v>1768</v>
      </c>
      <c r="AA378" s="84" t="s">
        <v>1768</v>
      </c>
      <c r="AB378" s="84"/>
      <c r="AC378" s="84"/>
      <c r="AD378" s="88" t="s">
        <v>1874</v>
      </c>
      <c r="AE378" s="86">
        <v>1</v>
      </c>
      <c r="AF378" s="87" t="str">
        <f>REPLACE(INDEX(GroupVertices[Group],MATCH(Edges[[#This Row],[Vertex 1]],GroupVertices[Vertex],0)),1,1,"")</f>
        <v>1</v>
      </c>
      <c r="AG378" s="87" t="str">
        <f>REPLACE(INDEX(GroupVertices[Group],MATCH(Edges[[#This Row],[Vertex 2]],GroupVertices[Vertex],0)),1,1,"")</f>
        <v>1</v>
      </c>
      <c r="AH378" s="105"/>
      <c r="AI378" s="105"/>
      <c r="AJ378" s="105"/>
      <c r="AK378" s="105"/>
      <c r="AL378" s="105"/>
      <c r="AM378" s="105"/>
      <c r="AN378" s="105"/>
      <c r="AO378" s="105"/>
      <c r="AP378" s="105"/>
    </row>
    <row r="379" spans="1:42" ht="15">
      <c r="A379" s="61" t="s">
        <v>578</v>
      </c>
      <c r="B379" s="61" t="s">
        <v>651</v>
      </c>
      <c r="C379" s="62" t="s">
        <v>2891</v>
      </c>
      <c r="D379" s="63">
        <v>5</v>
      </c>
      <c r="E379" s="62"/>
      <c r="F379" s="65">
        <v>25</v>
      </c>
      <c r="G379" s="62"/>
      <c r="H379" s="66"/>
      <c r="I379" s="67"/>
      <c r="J379" s="67"/>
      <c r="K379" s="31" t="s">
        <v>65</v>
      </c>
      <c r="L379" s="68">
        <v>379</v>
      </c>
      <c r="M379" s="68"/>
      <c r="N379" s="69"/>
      <c r="O379" s="84" t="s">
        <v>653</v>
      </c>
      <c r="P379" s="84" t="s">
        <v>215</v>
      </c>
      <c r="Q379" s="88" t="s">
        <v>1028</v>
      </c>
      <c r="R379" s="84" t="s">
        <v>578</v>
      </c>
      <c r="S379" s="84" t="s">
        <v>1416</v>
      </c>
      <c r="T379" s="90" t="str">
        <f>HYPERLINK("http://www.youtube.com/channel/UCw_0dy4LmQMSMf_QEL3Qsqg")</f>
        <v>http://www.youtube.com/channel/UCw_0dy4LmQMSMf_QEL3Qsqg</v>
      </c>
      <c r="U379" s="84"/>
      <c r="V379" s="84" t="s">
        <v>1488</v>
      </c>
      <c r="W379" s="90" t="str">
        <f>HYPERLINK("https://www.youtube.com/watch?v=f9psILoYmCc")</f>
        <v>https://www.youtube.com/watch?v=f9psILoYmCc</v>
      </c>
      <c r="X379" s="84" t="s">
        <v>1537</v>
      </c>
      <c r="Y379" s="84">
        <v>2</v>
      </c>
      <c r="Z379" s="84" t="s">
        <v>1769</v>
      </c>
      <c r="AA379" s="84" t="s">
        <v>1769</v>
      </c>
      <c r="AB379" s="84"/>
      <c r="AC379" s="84"/>
      <c r="AD379" s="88" t="s">
        <v>1874</v>
      </c>
      <c r="AE379" s="86">
        <v>1</v>
      </c>
      <c r="AF379" s="87" t="str">
        <f>REPLACE(INDEX(GroupVertices[Group],MATCH(Edges[[#This Row],[Vertex 1]],GroupVertices[Vertex],0)),1,1,"")</f>
        <v>1</v>
      </c>
      <c r="AG379" s="87" t="str">
        <f>REPLACE(INDEX(GroupVertices[Group],MATCH(Edges[[#This Row],[Vertex 2]],GroupVertices[Vertex],0)),1,1,"")</f>
        <v>1</v>
      </c>
      <c r="AH379" s="105"/>
      <c r="AI379" s="105"/>
      <c r="AJ379" s="105"/>
      <c r="AK379" s="105"/>
      <c r="AL379" s="105"/>
      <c r="AM379" s="105"/>
      <c r="AN379" s="105"/>
      <c r="AO379" s="105"/>
      <c r="AP379" s="105"/>
    </row>
    <row r="380" spans="1:42" ht="15">
      <c r="A380" s="61" t="s">
        <v>579</v>
      </c>
      <c r="B380" s="61" t="s">
        <v>651</v>
      </c>
      <c r="C380" s="62" t="s">
        <v>2891</v>
      </c>
      <c r="D380" s="63">
        <v>5</v>
      </c>
      <c r="E380" s="62"/>
      <c r="F380" s="65">
        <v>25</v>
      </c>
      <c r="G380" s="62"/>
      <c r="H380" s="66"/>
      <c r="I380" s="67"/>
      <c r="J380" s="67"/>
      <c r="K380" s="31" t="s">
        <v>65</v>
      </c>
      <c r="L380" s="68">
        <v>380</v>
      </c>
      <c r="M380" s="68"/>
      <c r="N380" s="69"/>
      <c r="O380" s="84" t="s">
        <v>653</v>
      </c>
      <c r="P380" s="84" t="s">
        <v>215</v>
      </c>
      <c r="Q380" s="88" t="s">
        <v>1029</v>
      </c>
      <c r="R380" s="84" t="s">
        <v>579</v>
      </c>
      <c r="S380" s="84" t="s">
        <v>1417</v>
      </c>
      <c r="T380" s="90" t="str">
        <f>HYPERLINK("http://www.youtube.com/channel/UC3b62ijvc9UfM_aKUVqxGgw")</f>
        <v>http://www.youtube.com/channel/UC3b62ijvc9UfM_aKUVqxGgw</v>
      </c>
      <c r="U380" s="84"/>
      <c r="V380" s="84" t="s">
        <v>1488</v>
      </c>
      <c r="W380" s="90" t="str">
        <f>HYPERLINK("https://www.youtube.com/watch?v=f9psILoYmCc")</f>
        <v>https://www.youtube.com/watch?v=f9psILoYmCc</v>
      </c>
      <c r="X380" s="84" t="s">
        <v>1537</v>
      </c>
      <c r="Y380" s="84">
        <v>367</v>
      </c>
      <c r="Z380" s="84" t="s">
        <v>1770</v>
      </c>
      <c r="AA380" s="84" t="s">
        <v>1770</v>
      </c>
      <c r="AB380" s="84"/>
      <c r="AC380" s="84"/>
      <c r="AD380" s="88" t="s">
        <v>1874</v>
      </c>
      <c r="AE380" s="86">
        <v>1</v>
      </c>
      <c r="AF380" s="87" t="str">
        <f>REPLACE(INDEX(GroupVertices[Group],MATCH(Edges[[#This Row],[Vertex 1]],GroupVertices[Vertex],0)),1,1,"")</f>
        <v>1</v>
      </c>
      <c r="AG380" s="87" t="str">
        <f>REPLACE(INDEX(GroupVertices[Group],MATCH(Edges[[#This Row],[Vertex 2]],GroupVertices[Vertex],0)),1,1,"")</f>
        <v>1</v>
      </c>
      <c r="AH380" s="105"/>
      <c r="AI380" s="105"/>
      <c r="AJ380" s="105"/>
      <c r="AK380" s="105"/>
      <c r="AL380" s="105"/>
      <c r="AM380" s="105"/>
      <c r="AN380" s="105"/>
      <c r="AO380" s="105"/>
      <c r="AP380" s="105"/>
    </row>
    <row r="381" spans="1:42" ht="15">
      <c r="A381" s="61" t="s">
        <v>580</v>
      </c>
      <c r="B381" s="61" t="s">
        <v>651</v>
      </c>
      <c r="C381" s="62" t="s">
        <v>2891</v>
      </c>
      <c r="D381" s="63">
        <v>5</v>
      </c>
      <c r="E381" s="62"/>
      <c r="F381" s="65">
        <v>25</v>
      </c>
      <c r="G381" s="62"/>
      <c r="H381" s="66"/>
      <c r="I381" s="67"/>
      <c r="J381" s="67"/>
      <c r="K381" s="31" t="s">
        <v>65</v>
      </c>
      <c r="L381" s="68">
        <v>381</v>
      </c>
      <c r="M381" s="68"/>
      <c r="N381" s="69"/>
      <c r="O381" s="84" t="s">
        <v>653</v>
      </c>
      <c r="P381" s="84" t="s">
        <v>215</v>
      </c>
      <c r="Q381" s="88" t="s">
        <v>1030</v>
      </c>
      <c r="R381" s="84" t="s">
        <v>580</v>
      </c>
      <c r="S381" s="84" t="s">
        <v>1418</v>
      </c>
      <c r="T381" s="90" t="str">
        <f>HYPERLINK("http://www.youtube.com/channel/UCbTDHkOBtx1PmkcpQb8O3tw")</f>
        <v>http://www.youtube.com/channel/UCbTDHkOBtx1PmkcpQb8O3tw</v>
      </c>
      <c r="U381" s="84"/>
      <c r="V381" s="84" t="s">
        <v>1488</v>
      </c>
      <c r="W381" s="90" t="str">
        <f>HYPERLINK("https://www.youtube.com/watch?v=f9psILoYmCc")</f>
        <v>https://www.youtube.com/watch?v=f9psILoYmCc</v>
      </c>
      <c r="X381" s="84" t="s">
        <v>1537</v>
      </c>
      <c r="Y381" s="84">
        <v>5</v>
      </c>
      <c r="Z381" s="84" t="s">
        <v>1771</v>
      </c>
      <c r="AA381" s="84" t="s">
        <v>1771</v>
      </c>
      <c r="AB381" s="84"/>
      <c r="AC381" s="84"/>
      <c r="AD381" s="88" t="s">
        <v>1874</v>
      </c>
      <c r="AE381" s="86">
        <v>1</v>
      </c>
      <c r="AF381" s="87" t="str">
        <f>REPLACE(INDEX(GroupVertices[Group],MATCH(Edges[[#This Row],[Vertex 1]],GroupVertices[Vertex],0)),1,1,"")</f>
        <v>1</v>
      </c>
      <c r="AG381" s="87" t="str">
        <f>REPLACE(INDEX(GroupVertices[Group],MATCH(Edges[[#This Row],[Vertex 2]],GroupVertices[Vertex],0)),1,1,"")</f>
        <v>1</v>
      </c>
      <c r="AH381" s="105"/>
      <c r="AI381" s="105"/>
      <c r="AJ381" s="105"/>
      <c r="AK381" s="105"/>
      <c r="AL381" s="105"/>
      <c r="AM381" s="105"/>
      <c r="AN381" s="105"/>
      <c r="AO381" s="105"/>
      <c r="AP381" s="105"/>
    </row>
    <row r="382" spans="1:42" ht="15">
      <c r="A382" s="61" t="s">
        <v>581</v>
      </c>
      <c r="B382" s="61" t="s">
        <v>651</v>
      </c>
      <c r="C382" s="62" t="s">
        <v>2891</v>
      </c>
      <c r="D382" s="63">
        <v>5</v>
      </c>
      <c r="E382" s="62"/>
      <c r="F382" s="65">
        <v>25</v>
      </c>
      <c r="G382" s="62"/>
      <c r="H382" s="66"/>
      <c r="I382" s="67"/>
      <c r="J382" s="67"/>
      <c r="K382" s="31" t="s">
        <v>65</v>
      </c>
      <c r="L382" s="68">
        <v>382</v>
      </c>
      <c r="M382" s="68"/>
      <c r="N382" s="69"/>
      <c r="O382" s="84" t="s">
        <v>653</v>
      </c>
      <c r="P382" s="84" t="s">
        <v>215</v>
      </c>
      <c r="Q382" s="88" t="s">
        <v>1031</v>
      </c>
      <c r="R382" s="84" t="s">
        <v>581</v>
      </c>
      <c r="S382" s="84" t="s">
        <v>1419</v>
      </c>
      <c r="T382" s="90" t="str">
        <f>HYPERLINK("http://www.youtube.com/channel/UCYaR7bDWxyOOoreuWYM4-9A")</f>
        <v>http://www.youtube.com/channel/UCYaR7bDWxyOOoreuWYM4-9A</v>
      </c>
      <c r="U382" s="84"/>
      <c r="V382" s="84" t="s">
        <v>1488</v>
      </c>
      <c r="W382" s="90" t="str">
        <f>HYPERLINK("https://www.youtube.com/watch?v=f9psILoYmCc")</f>
        <v>https://www.youtube.com/watch?v=f9psILoYmCc</v>
      </c>
      <c r="X382" s="84" t="s">
        <v>1537</v>
      </c>
      <c r="Y382" s="84">
        <v>0</v>
      </c>
      <c r="Z382" s="84" t="s">
        <v>1772</v>
      </c>
      <c r="AA382" s="84" t="s">
        <v>1772</v>
      </c>
      <c r="AB382" s="84"/>
      <c r="AC382" s="84"/>
      <c r="AD382" s="88" t="s">
        <v>1874</v>
      </c>
      <c r="AE382" s="86">
        <v>1</v>
      </c>
      <c r="AF382" s="87" t="str">
        <f>REPLACE(INDEX(GroupVertices[Group],MATCH(Edges[[#This Row],[Vertex 1]],GroupVertices[Vertex],0)),1,1,"")</f>
        <v>1</v>
      </c>
      <c r="AG382" s="87" t="str">
        <f>REPLACE(INDEX(GroupVertices[Group],MATCH(Edges[[#This Row],[Vertex 2]],GroupVertices[Vertex],0)),1,1,"")</f>
        <v>1</v>
      </c>
      <c r="AH382" s="105"/>
      <c r="AI382" s="105"/>
      <c r="AJ382" s="105"/>
      <c r="AK382" s="105"/>
      <c r="AL382" s="105"/>
      <c r="AM382" s="105"/>
      <c r="AN382" s="105"/>
      <c r="AO382" s="105"/>
      <c r="AP382" s="105"/>
    </row>
    <row r="383" spans="1:42" ht="15">
      <c r="A383" s="61" t="s">
        <v>582</v>
      </c>
      <c r="B383" s="61" t="s">
        <v>651</v>
      </c>
      <c r="C383" s="62" t="s">
        <v>2891</v>
      </c>
      <c r="D383" s="63">
        <v>5</v>
      </c>
      <c r="E383" s="62"/>
      <c r="F383" s="65">
        <v>25</v>
      </c>
      <c r="G383" s="62"/>
      <c r="H383" s="66"/>
      <c r="I383" s="67"/>
      <c r="J383" s="67"/>
      <c r="K383" s="31" t="s">
        <v>65</v>
      </c>
      <c r="L383" s="68">
        <v>383</v>
      </c>
      <c r="M383" s="68"/>
      <c r="N383" s="69"/>
      <c r="O383" s="84" t="s">
        <v>653</v>
      </c>
      <c r="P383" s="84" t="s">
        <v>215</v>
      </c>
      <c r="Q383" s="88" t="s">
        <v>1032</v>
      </c>
      <c r="R383" s="84" t="s">
        <v>582</v>
      </c>
      <c r="S383" s="84" t="s">
        <v>1420</v>
      </c>
      <c r="T383" s="90" t="str">
        <f>HYPERLINK("http://www.youtube.com/channel/UCbDBOplQgmAQC-2Z6eOdrfA")</f>
        <v>http://www.youtube.com/channel/UCbDBOplQgmAQC-2Z6eOdrfA</v>
      </c>
      <c r="U383" s="84"/>
      <c r="V383" s="84" t="s">
        <v>1488</v>
      </c>
      <c r="W383" s="90" t="str">
        <f>HYPERLINK("https://www.youtube.com/watch?v=f9psILoYmCc")</f>
        <v>https://www.youtube.com/watch?v=f9psILoYmCc</v>
      </c>
      <c r="X383" s="84" t="s">
        <v>1537</v>
      </c>
      <c r="Y383" s="84">
        <v>4</v>
      </c>
      <c r="Z383" s="84" t="s">
        <v>1773</v>
      </c>
      <c r="AA383" s="84" t="s">
        <v>1773</v>
      </c>
      <c r="AB383" s="84"/>
      <c r="AC383" s="84"/>
      <c r="AD383" s="88" t="s">
        <v>1874</v>
      </c>
      <c r="AE383" s="86">
        <v>1</v>
      </c>
      <c r="AF383" s="87" t="str">
        <f>REPLACE(INDEX(GroupVertices[Group],MATCH(Edges[[#This Row],[Vertex 1]],GroupVertices[Vertex],0)),1,1,"")</f>
        <v>1</v>
      </c>
      <c r="AG383" s="87" t="str">
        <f>REPLACE(INDEX(GroupVertices[Group],MATCH(Edges[[#This Row],[Vertex 2]],GroupVertices[Vertex],0)),1,1,"")</f>
        <v>1</v>
      </c>
      <c r="AH383" s="105"/>
      <c r="AI383" s="105"/>
      <c r="AJ383" s="105"/>
      <c r="AK383" s="105"/>
      <c r="AL383" s="105"/>
      <c r="AM383" s="105"/>
      <c r="AN383" s="105"/>
      <c r="AO383" s="105"/>
      <c r="AP383" s="105"/>
    </row>
    <row r="384" spans="1:42" ht="15">
      <c r="A384" s="61" t="s">
        <v>583</v>
      </c>
      <c r="B384" s="61" t="s">
        <v>651</v>
      </c>
      <c r="C384" s="62" t="s">
        <v>2891</v>
      </c>
      <c r="D384" s="63">
        <v>5</v>
      </c>
      <c r="E384" s="62"/>
      <c r="F384" s="65">
        <v>25</v>
      </c>
      <c r="G384" s="62"/>
      <c r="H384" s="66"/>
      <c r="I384" s="67"/>
      <c r="J384" s="67"/>
      <c r="K384" s="31" t="s">
        <v>65</v>
      </c>
      <c r="L384" s="68">
        <v>384</v>
      </c>
      <c r="M384" s="68"/>
      <c r="N384" s="69"/>
      <c r="O384" s="84" t="s">
        <v>653</v>
      </c>
      <c r="P384" s="84" t="s">
        <v>215</v>
      </c>
      <c r="Q384" s="88" t="s">
        <v>1033</v>
      </c>
      <c r="R384" s="84" t="s">
        <v>583</v>
      </c>
      <c r="S384" s="84" t="s">
        <v>1421</v>
      </c>
      <c r="T384" s="90" t="str">
        <f>HYPERLINK("http://www.youtube.com/channel/UCfPh2ZMPVtZlEKJElPIlZFg")</f>
        <v>http://www.youtube.com/channel/UCfPh2ZMPVtZlEKJElPIlZFg</v>
      </c>
      <c r="U384" s="84"/>
      <c r="V384" s="84" t="s">
        <v>1488</v>
      </c>
      <c r="W384" s="90" t="str">
        <f>HYPERLINK("https://www.youtube.com/watch?v=f9psILoYmCc")</f>
        <v>https://www.youtube.com/watch?v=f9psILoYmCc</v>
      </c>
      <c r="X384" s="84" t="s">
        <v>1537</v>
      </c>
      <c r="Y384" s="84">
        <v>3</v>
      </c>
      <c r="Z384" s="84" t="s">
        <v>1774</v>
      </c>
      <c r="AA384" s="84" t="s">
        <v>1774</v>
      </c>
      <c r="AB384" s="84"/>
      <c r="AC384" s="84"/>
      <c r="AD384" s="88" t="s">
        <v>1874</v>
      </c>
      <c r="AE384" s="86">
        <v>1</v>
      </c>
      <c r="AF384" s="87" t="str">
        <f>REPLACE(INDEX(GroupVertices[Group],MATCH(Edges[[#This Row],[Vertex 1]],GroupVertices[Vertex],0)),1,1,"")</f>
        <v>1</v>
      </c>
      <c r="AG384" s="87" t="str">
        <f>REPLACE(INDEX(GroupVertices[Group],MATCH(Edges[[#This Row],[Vertex 2]],GroupVertices[Vertex],0)),1,1,"")</f>
        <v>1</v>
      </c>
      <c r="AH384" s="105"/>
      <c r="AI384" s="105"/>
      <c r="AJ384" s="105"/>
      <c r="AK384" s="105"/>
      <c r="AL384" s="105"/>
      <c r="AM384" s="105"/>
      <c r="AN384" s="105"/>
      <c r="AO384" s="105"/>
      <c r="AP384" s="105"/>
    </row>
    <row r="385" spans="1:42" ht="15">
      <c r="A385" s="61" t="s">
        <v>584</v>
      </c>
      <c r="B385" s="61" t="s">
        <v>651</v>
      </c>
      <c r="C385" s="62" t="s">
        <v>2891</v>
      </c>
      <c r="D385" s="63">
        <v>5</v>
      </c>
      <c r="E385" s="62"/>
      <c r="F385" s="65">
        <v>25</v>
      </c>
      <c r="G385" s="62"/>
      <c r="H385" s="66"/>
      <c r="I385" s="67"/>
      <c r="J385" s="67"/>
      <c r="K385" s="31" t="s">
        <v>65</v>
      </c>
      <c r="L385" s="68">
        <v>385</v>
      </c>
      <c r="M385" s="68"/>
      <c r="N385" s="69"/>
      <c r="O385" s="84" t="s">
        <v>653</v>
      </c>
      <c r="P385" s="84" t="s">
        <v>215</v>
      </c>
      <c r="Q385" s="88" t="s">
        <v>1034</v>
      </c>
      <c r="R385" s="84" t="s">
        <v>584</v>
      </c>
      <c r="S385" s="84" t="s">
        <v>1422</v>
      </c>
      <c r="T385" s="90" t="str">
        <f>HYPERLINK("http://www.youtube.com/channel/UCq_dTkkYV5ZCF1NvGSxv7Ug")</f>
        <v>http://www.youtube.com/channel/UCq_dTkkYV5ZCF1NvGSxv7Ug</v>
      </c>
      <c r="U385" s="84"/>
      <c r="V385" s="84" t="s">
        <v>1488</v>
      </c>
      <c r="W385" s="90" t="str">
        <f>HYPERLINK("https://www.youtube.com/watch?v=f9psILoYmCc")</f>
        <v>https://www.youtube.com/watch?v=f9psILoYmCc</v>
      </c>
      <c r="X385" s="84" t="s">
        <v>1537</v>
      </c>
      <c r="Y385" s="84">
        <v>21</v>
      </c>
      <c r="Z385" s="93">
        <v>43350.77798611111</v>
      </c>
      <c r="AA385" s="93">
        <v>43350.77798611111</v>
      </c>
      <c r="AB385" s="84"/>
      <c r="AC385" s="84"/>
      <c r="AD385" s="88" t="s">
        <v>1874</v>
      </c>
      <c r="AE385" s="86">
        <v>1</v>
      </c>
      <c r="AF385" s="87" t="str">
        <f>REPLACE(INDEX(GroupVertices[Group],MATCH(Edges[[#This Row],[Vertex 1]],GroupVertices[Vertex],0)),1,1,"")</f>
        <v>1</v>
      </c>
      <c r="AG385" s="87" t="str">
        <f>REPLACE(INDEX(GroupVertices[Group],MATCH(Edges[[#This Row],[Vertex 2]],GroupVertices[Vertex],0)),1,1,"")</f>
        <v>1</v>
      </c>
      <c r="AH385" s="105"/>
      <c r="AI385" s="105"/>
      <c r="AJ385" s="105"/>
      <c r="AK385" s="105"/>
      <c r="AL385" s="105"/>
      <c r="AM385" s="105"/>
      <c r="AN385" s="105"/>
      <c r="AO385" s="105"/>
      <c r="AP385" s="105"/>
    </row>
    <row r="386" spans="1:42" ht="15">
      <c r="A386" s="61" t="s">
        <v>585</v>
      </c>
      <c r="B386" s="61" t="s">
        <v>651</v>
      </c>
      <c r="C386" s="62" t="s">
        <v>2891</v>
      </c>
      <c r="D386" s="63">
        <v>5</v>
      </c>
      <c r="E386" s="62"/>
      <c r="F386" s="65">
        <v>25</v>
      </c>
      <c r="G386" s="62"/>
      <c r="H386" s="66"/>
      <c r="I386" s="67"/>
      <c r="J386" s="67"/>
      <c r="K386" s="31" t="s">
        <v>65</v>
      </c>
      <c r="L386" s="68">
        <v>386</v>
      </c>
      <c r="M386" s="68"/>
      <c r="N386" s="69"/>
      <c r="O386" s="84" t="s">
        <v>653</v>
      </c>
      <c r="P386" s="84" t="s">
        <v>215</v>
      </c>
      <c r="Q386" s="88" t="s">
        <v>1035</v>
      </c>
      <c r="R386" s="84" t="s">
        <v>585</v>
      </c>
      <c r="S386" s="84" t="s">
        <v>1423</v>
      </c>
      <c r="T386" s="90" t="str">
        <f>HYPERLINK("http://www.youtube.com/channel/UCsK4qZrhgoeETuYUZXfx1rQ")</f>
        <v>http://www.youtube.com/channel/UCsK4qZrhgoeETuYUZXfx1rQ</v>
      </c>
      <c r="U386" s="84"/>
      <c r="V386" s="84" t="s">
        <v>1488</v>
      </c>
      <c r="W386" s="90" t="str">
        <f>HYPERLINK("https://www.youtube.com/watch?v=f9psILoYmCc")</f>
        <v>https://www.youtube.com/watch?v=f9psILoYmCc</v>
      </c>
      <c r="X386" s="84" t="s">
        <v>1537</v>
      </c>
      <c r="Y386" s="84">
        <v>0</v>
      </c>
      <c r="Z386" s="93">
        <v>43108.85792824074</v>
      </c>
      <c r="AA386" s="93">
        <v>43108.85792824074</v>
      </c>
      <c r="AB386" s="84"/>
      <c r="AC386" s="84"/>
      <c r="AD386" s="88" t="s">
        <v>1874</v>
      </c>
      <c r="AE386" s="86">
        <v>1</v>
      </c>
      <c r="AF386" s="87" t="str">
        <f>REPLACE(INDEX(GroupVertices[Group],MATCH(Edges[[#This Row],[Vertex 1]],GroupVertices[Vertex],0)),1,1,"")</f>
        <v>1</v>
      </c>
      <c r="AG386" s="87" t="str">
        <f>REPLACE(INDEX(GroupVertices[Group],MATCH(Edges[[#This Row],[Vertex 2]],GroupVertices[Vertex],0)),1,1,"")</f>
        <v>1</v>
      </c>
      <c r="AH386" s="105"/>
      <c r="AI386" s="105"/>
      <c r="AJ386" s="105"/>
      <c r="AK386" s="105"/>
      <c r="AL386" s="105"/>
      <c r="AM386" s="105"/>
      <c r="AN386" s="105"/>
      <c r="AO386" s="105"/>
      <c r="AP386" s="105"/>
    </row>
    <row r="387" spans="1:42" ht="15">
      <c r="A387" s="61" t="s">
        <v>586</v>
      </c>
      <c r="B387" s="61" t="s">
        <v>651</v>
      </c>
      <c r="C387" s="62" t="s">
        <v>2891</v>
      </c>
      <c r="D387" s="63">
        <v>5</v>
      </c>
      <c r="E387" s="62"/>
      <c r="F387" s="65">
        <v>25</v>
      </c>
      <c r="G387" s="62"/>
      <c r="H387" s="66"/>
      <c r="I387" s="67"/>
      <c r="J387" s="67"/>
      <c r="K387" s="31" t="s">
        <v>65</v>
      </c>
      <c r="L387" s="68">
        <v>387</v>
      </c>
      <c r="M387" s="68"/>
      <c r="N387" s="69"/>
      <c r="O387" s="84" t="s">
        <v>653</v>
      </c>
      <c r="P387" s="84" t="s">
        <v>215</v>
      </c>
      <c r="Q387" s="88" t="s">
        <v>1036</v>
      </c>
      <c r="R387" s="84" t="s">
        <v>586</v>
      </c>
      <c r="S387" s="84" t="s">
        <v>1424</v>
      </c>
      <c r="T387" s="90" t="str">
        <f>HYPERLINK("http://www.youtube.com/channel/UCLD0mWkI9RhtXLMIXPeJKNw")</f>
        <v>http://www.youtube.com/channel/UCLD0mWkI9RhtXLMIXPeJKNw</v>
      </c>
      <c r="U387" s="84"/>
      <c r="V387" s="84" t="s">
        <v>1488</v>
      </c>
      <c r="W387" s="90" t="str">
        <f>HYPERLINK("https://www.youtube.com/watch?v=f9psILoYmCc")</f>
        <v>https://www.youtube.com/watch?v=f9psILoYmCc</v>
      </c>
      <c r="X387" s="84" t="s">
        <v>1537</v>
      </c>
      <c r="Y387" s="84">
        <v>0</v>
      </c>
      <c r="Z387" s="93">
        <v>43289.77704861111</v>
      </c>
      <c r="AA387" s="93">
        <v>43289.77704861111</v>
      </c>
      <c r="AB387" s="84"/>
      <c r="AC387" s="84"/>
      <c r="AD387" s="88" t="s">
        <v>1874</v>
      </c>
      <c r="AE387" s="86">
        <v>1</v>
      </c>
      <c r="AF387" s="87" t="str">
        <f>REPLACE(INDEX(GroupVertices[Group],MATCH(Edges[[#This Row],[Vertex 1]],GroupVertices[Vertex],0)),1,1,"")</f>
        <v>1</v>
      </c>
      <c r="AG387" s="87" t="str">
        <f>REPLACE(INDEX(GroupVertices[Group],MATCH(Edges[[#This Row],[Vertex 2]],GroupVertices[Vertex],0)),1,1,"")</f>
        <v>1</v>
      </c>
      <c r="AH387" s="105"/>
      <c r="AI387" s="105"/>
      <c r="AJ387" s="105"/>
      <c r="AK387" s="105"/>
      <c r="AL387" s="105"/>
      <c r="AM387" s="105"/>
      <c r="AN387" s="105"/>
      <c r="AO387" s="105"/>
      <c r="AP387" s="105"/>
    </row>
    <row r="388" spans="1:42" ht="15">
      <c r="A388" s="61" t="s">
        <v>587</v>
      </c>
      <c r="B388" s="61" t="s">
        <v>651</v>
      </c>
      <c r="C388" s="62" t="s">
        <v>2891</v>
      </c>
      <c r="D388" s="63">
        <v>5</v>
      </c>
      <c r="E388" s="62"/>
      <c r="F388" s="65">
        <v>25</v>
      </c>
      <c r="G388" s="62"/>
      <c r="H388" s="66"/>
      <c r="I388" s="67"/>
      <c r="J388" s="67"/>
      <c r="K388" s="31" t="s">
        <v>65</v>
      </c>
      <c r="L388" s="68">
        <v>388</v>
      </c>
      <c r="M388" s="68"/>
      <c r="N388" s="69"/>
      <c r="O388" s="84" t="s">
        <v>653</v>
      </c>
      <c r="P388" s="84" t="s">
        <v>215</v>
      </c>
      <c r="Q388" s="88" t="s">
        <v>1037</v>
      </c>
      <c r="R388" s="84" t="s">
        <v>587</v>
      </c>
      <c r="S388" s="84" t="s">
        <v>1425</v>
      </c>
      <c r="T388" s="90" t="str">
        <f>HYPERLINK("http://www.youtube.com/channel/UCU6Rar_MIux7KxB3fxMHksA")</f>
        <v>http://www.youtube.com/channel/UCU6Rar_MIux7KxB3fxMHksA</v>
      </c>
      <c r="U388" s="84"/>
      <c r="V388" s="84" t="s">
        <v>1488</v>
      </c>
      <c r="W388" s="90" t="str">
        <f>HYPERLINK("https://www.youtube.com/watch?v=f9psILoYmCc")</f>
        <v>https://www.youtube.com/watch?v=f9psILoYmCc</v>
      </c>
      <c r="X388" s="84" t="s">
        <v>1537</v>
      </c>
      <c r="Y388" s="84">
        <v>2</v>
      </c>
      <c r="Z388" s="84" t="s">
        <v>1775</v>
      </c>
      <c r="AA388" s="84" t="s">
        <v>1775</v>
      </c>
      <c r="AB388" s="84"/>
      <c r="AC388" s="84"/>
      <c r="AD388" s="88" t="s">
        <v>1874</v>
      </c>
      <c r="AE388" s="86">
        <v>1</v>
      </c>
      <c r="AF388" s="87" t="str">
        <f>REPLACE(INDEX(GroupVertices[Group],MATCH(Edges[[#This Row],[Vertex 1]],GroupVertices[Vertex],0)),1,1,"")</f>
        <v>1</v>
      </c>
      <c r="AG388" s="87" t="str">
        <f>REPLACE(INDEX(GroupVertices[Group],MATCH(Edges[[#This Row],[Vertex 2]],GroupVertices[Vertex],0)),1,1,"")</f>
        <v>1</v>
      </c>
      <c r="AH388" s="105"/>
      <c r="AI388" s="105"/>
      <c r="AJ388" s="105"/>
      <c r="AK388" s="105"/>
      <c r="AL388" s="105"/>
      <c r="AM388" s="105"/>
      <c r="AN388" s="105"/>
      <c r="AO388" s="105"/>
      <c r="AP388" s="105"/>
    </row>
    <row r="389" spans="1:42" ht="15">
      <c r="A389" s="61" t="s">
        <v>588</v>
      </c>
      <c r="B389" s="61" t="s">
        <v>651</v>
      </c>
      <c r="C389" s="62" t="s">
        <v>2891</v>
      </c>
      <c r="D389" s="63">
        <v>5</v>
      </c>
      <c r="E389" s="62"/>
      <c r="F389" s="65">
        <v>25</v>
      </c>
      <c r="G389" s="62"/>
      <c r="H389" s="66"/>
      <c r="I389" s="67"/>
      <c r="J389" s="67"/>
      <c r="K389" s="31" t="s">
        <v>65</v>
      </c>
      <c r="L389" s="68">
        <v>389</v>
      </c>
      <c r="M389" s="68"/>
      <c r="N389" s="69"/>
      <c r="O389" s="84" t="s">
        <v>653</v>
      </c>
      <c r="P389" s="84" t="s">
        <v>215</v>
      </c>
      <c r="Q389" s="88" t="s">
        <v>1038</v>
      </c>
      <c r="R389" s="84" t="s">
        <v>588</v>
      </c>
      <c r="S389" s="84" t="s">
        <v>1426</v>
      </c>
      <c r="T389" s="90" t="str">
        <f>HYPERLINK("http://www.youtube.com/channel/UCsYjmxuq-Waa1nWTn6YlbDg")</f>
        <v>http://www.youtube.com/channel/UCsYjmxuq-Waa1nWTn6YlbDg</v>
      </c>
      <c r="U389" s="84"/>
      <c r="V389" s="84" t="s">
        <v>1488</v>
      </c>
      <c r="W389" s="90" t="str">
        <f>HYPERLINK("https://www.youtube.com/watch?v=f9psILoYmCc")</f>
        <v>https://www.youtube.com/watch?v=f9psILoYmCc</v>
      </c>
      <c r="X389" s="84" t="s">
        <v>1537</v>
      </c>
      <c r="Y389" s="84">
        <v>0</v>
      </c>
      <c r="Z389" s="93">
        <v>43382.71203703704</v>
      </c>
      <c r="AA389" s="93">
        <v>43382.71203703704</v>
      </c>
      <c r="AB389" s="84"/>
      <c r="AC389" s="84"/>
      <c r="AD389" s="88" t="s">
        <v>1874</v>
      </c>
      <c r="AE389" s="86">
        <v>1</v>
      </c>
      <c r="AF389" s="87" t="str">
        <f>REPLACE(INDEX(GroupVertices[Group],MATCH(Edges[[#This Row],[Vertex 1]],GroupVertices[Vertex],0)),1,1,"")</f>
        <v>1</v>
      </c>
      <c r="AG389" s="87" t="str">
        <f>REPLACE(INDEX(GroupVertices[Group],MATCH(Edges[[#This Row],[Vertex 2]],GroupVertices[Vertex],0)),1,1,"")</f>
        <v>1</v>
      </c>
      <c r="AH389" s="105"/>
      <c r="AI389" s="105"/>
      <c r="AJ389" s="105"/>
      <c r="AK389" s="105"/>
      <c r="AL389" s="105"/>
      <c r="AM389" s="105"/>
      <c r="AN389" s="105"/>
      <c r="AO389" s="105"/>
      <c r="AP389" s="105"/>
    </row>
    <row r="390" spans="1:42" ht="15">
      <c r="A390" s="61" t="s">
        <v>589</v>
      </c>
      <c r="B390" s="61" t="s">
        <v>651</v>
      </c>
      <c r="C390" s="62" t="s">
        <v>2891</v>
      </c>
      <c r="D390" s="63">
        <v>5</v>
      </c>
      <c r="E390" s="62"/>
      <c r="F390" s="65">
        <v>25</v>
      </c>
      <c r="G390" s="62"/>
      <c r="H390" s="66"/>
      <c r="I390" s="67"/>
      <c r="J390" s="67"/>
      <c r="K390" s="31" t="s">
        <v>65</v>
      </c>
      <c r="L390" s="68">
        <v>390</v>
      </c>
      <c r="M390" s="68"/>
      <c r="N390" s="69"/>
      <c r="O390" s="84" t="s">
        <v>653</v>
      </c>
      <c r="P390" s="84" t="s">
        <v>215</v>
      </c>
      <c r="Q390" s="88" t="s">
        <v>1039</v>
      </c>
      <c r="R390" s="84" t="s">
        <v>589</v>
      </c>
      <c r="S390" s="84" t="s">
        <v>1427</v>
      </c>
      <c r="T390" s="90" t="str">
        <f>HYPERLINK("http://www.youtube.com/channel/UCsaqbxuZY6gL-7SbYOjItmA")</f>
        <v>http://www.youtube.com/channel/UCsaqbxuZY6gL-7SbYOjItmA</v>
      </c>
      <c r="U390" s="84"/>
      <c r="V390" s="84" t="s">
        <v>1488</v>
      </c>
      <c r="W390" s="90" t="str">
        <f>HYPERLINK("https://www.youtube.com/watch?v=f9psILoYmCc")</f>
        <v>https://www.youtube.com/watch?v=f9psILoYmCc</v>
      </c>
      <c r="X390" s="84" t="s">
        <v>1537</v>
      </c>
      <c r="Y390" s="84">
        <v>29</v>
      </c>
      <c r="Z390" s="93">
        <v>43413.24900462963</v>
      </c>
      <c r="AA390" s="93">
        <v>43413.24900462963</v>
      </c>
      <c r="AB390" s="84"/>
      <c r="AC390" s="84"/>
      <c r="AD390" s="88" t="s">
        <v>1874</v>
      </c>
      <c r="AE390" s="86">
        <v>1</v>
      </c>
      <c r="AF390" s="87" t="str">
        <f>REPLACE(INDEX(GroupVertices[Group],MATCH(Edges[[#This Row],[Vertex 1]],GroupVertices[Vertex],0)),1,1,"")</f>
        <v>1</v>
      </c>
      <c r="AG390" s="87" t="str">
        <f>REPLACE(INDEX(GroupVertices[Group],MATCH(Edges[[#This Row],[Vertex 2]],GroupVertices[Vertex],0)),1,1,"")</f>
        <v>1</v>
      </c>
      <c r="AH390" s="105"/>
      <c r="AI390" s="105"/>
      <c r="AJ390" s="105"/>
      <c r="AK390" s="105"/>
      <c r="AL390" s="105"/>
      <c r="AM390" s="105"/>
      <c r="AN390" s="105"/>
      <c r="AO390" s="105"/>
      <c r="AP390" s="105"/>
    </row>
    <row r="391" spans="1:42" ht="15">
      <c r="A391" s="61" t="s">
        <v>590</v>
      </c>
      <c r="B391" s="61" t="s">
        <v>651</v>
      </c>
      <c r="C391" s="62" t="s">
        <v>2891</v>
      </c>
      <c r="D391" s="63">
        <v>5</v>
      </c>
      <c r="E391" s="62"/>
      <c r="F391" s="65">
        <v>25</v>
      </c>
      <c r="G391" s="62"/>
      <c r="H391" s="66"/>
      <c r="I391" s="67"/>
      <c r="J391" s="67"/>
      <c r="K391" s="31" t="s">
        <v>65</v>
      </c>
      <c r="L391" s="68">
        <v>391</v>
      </c>
      <c r="M391" s="68"/>
      <c r="N391" s="69"/>
      <c r="O391" s="84" t="s">
        <v>653</v>
      </c>
      <c r="P391" s="84" t="s">
        <v>215</v>
      </c>
      <c r="Q391" s="88" t="s">
        <v>1040</v>
      </c>
      <c r="R391" s="84" t="s">
        <v>590</v>
      </c>
      <c r="S391" s="84" t="s">
        <v>1428</v>
      </c>
      <c r="T391" s="90" t="str">
        <f>HYPERLINK("http://www.youtube.com/channel/UCGushJDi1Ckp7EXmbvNiy3A")</f>
        <v>http://www.youtube.com/channel/UCGushJDi1Ckp7EXmbvNiy3A</v>
      </c>
      <c r="U391" s="84"/>
      <c r="V391" s="84" t="s">
        <v>1488</v>
      </c>
      <c r="W391" s="90" t="str">
        <f>HYPERLINK("https://www.youtube.com/watch?v=f9psILoYmCc")</f>
        <v>https://www.youtube.com/watch?v=f9psILoYmCc</v>
      </c>
      <c r="X391" s="84" t="s">
        <v>1537</v>
      </c>
      <c r="Y391" s="84">
        <v>1</v>
      </c>
      <c r="Z391" s="84" t="s">
        <v>1776</v>
      </c>
      <c r="AA391" s="84" t="s">
        <v>1776</v>
      </c>
      <c r="AB391" s="84"/>
      <c r="AC391" s="84"/>
      <c r="AD391" s="88" t="s">
        <v>1874</v>
      </c>
      <c r="AE391" s="86">
        <v>1</v>
      </c>
      <c r="AF391" s="87" t="str">
        <f>REPLACE(INDEX(GroupVertices[Group],MATCH(Edges[[#This Row],[Vertex 1]],GroupVertices[Vertex],0)),1,1,"")</f>
        <v>1</v>
      </c>
      <c r="AG391" s="87" t="str">
        <f>REPLACE(INDEX(GroupVertices[Group],MATCH(Edges[[#This Row],[Vertex 2]],GroupVertices[Vertex],0)),1,1,"")</f>
        <v>1</v>
      </c>
      <c r="AH391" s="105"/>
      <c r="AI391" s="105"/>
      <c r="AJ391" s="105"/>
      <c r="AK391" s="105"/>
      <c r="AL391" s="105"/>
      <c r="AM391" s="105"/>
      <c r="AN391" s="105"/>
      <c r="AO391" s="105"/>
      <c r="AP391" s="105"/>
    </row>
    <row r="392" spans="1:42" ht="15">
      <c r="A392" s="61" t="s">
        <v>591</v>
      </c>
      <c r="B392" s="61" t="s">
        <v>651</v>
      </c>
      <c r="C392" s="62" t="s">
        <v>2891</v>
      </c>
      <c r="D392" s="63">
        <v>5</v>
      </c>
      <c r="E392" s="62"/>
      <c r="F392" s="65">
        <v>25</v>
      </c>
      <c r="G392" s="62"/>
      <c r="H392" s="66"/>
      <c r="I392" s="67"/>
      <c r="J392" s="67"/>
      <c r="K392" s="31" t="s">
        <v>65</v>
      </c>
      <c r="L392" s="68">
        <v>392</v>
      </c>
      <c r="M392" s="68"/>
      <c r="N392" s="69"/>
      <c r="O392" s="84" t="s">
        <v>653</v>
      </c>
      <c r="P392" s="84" t="s">
        <v>215</v>
      </c>
      <c r="Q392" s="88" t="s">
        <v>1041</v>
      </c>
      <c r="R392" s="84" t="s">
        <v>591</v>
      </c>
      <c r="S392" s="84" t="s">
        <v>1429</v>
      </c>
      <c r="T392" s="90" t="str">
        <f>HYPERLINK("http://www.youtube.com/channel/UCAATVky1WIyWqz5cU84Fo-A")</f>
        <v>http://www.youtube.com/channel/UCAATVky1WIyWqz5cU84Fo-A</v>
      </c>
      <c r="U392" s="84"/>
      <c r="V392" s="84" t="s">
        <v>1488</v>
      </c>
      <c r="W392" s="90" t="str">
        <f>HYPERLINK("https://www.youtube.com/watch?v=f9psILoYmCc")</f>
        <v>https://www.youtube.com/watch?v=f9psILoYmCc</v>
      </c>
      <c r="X392" s="84" t="s">
        <v>1537</v>
      </c>
      <c r="Y392" s="84">
        <v>2</v>
      </c>
      <c r="Z392" s="84" t="s">
        <v>1777</v>
      </c>
      <c r="AA392" s="84" t="s">
        <v>1777</v>
      </c>
      <c r="AB392" s="84"/>
      <c r="AC392" s="84"/>
      <c r="AD392" s="88" t="s">
        <v>1874</v>
      </c>
      <c r="AE392" s="86">
        <v>1</v>
      </c>
      <c r="AF392" s="87" t="str">
        <f>REPLACE(INDEX(GroupVertices[Group],MATCH(Edges[[#This Row],[Vertex 1]],GroupVertices[Vertex],0)),1,1,"")</f>
        <v>1</v>
      </c>
      <c r="AG392" s="87" t="str">
        <f>REPLACE(INDEX(GroupVertices[Group],MATCH(Edges[[#This Row],[Vertex 2]],GroupVertices[Vertex],0)),1,1,"")</f>
        <v>1</v>
      </c>
      <c r="AH392" s="105"/>
      <c r="AI392" s="105"/>
      <c r="AJ392" s="105"/>
      <c r="AK392" s="105"/>
      <c r="AL392" s="105"/>
      <c r="AM392" s="105"/>
      <c r="AN392" s="105"/>
      <c r="AO392" s="105"/>
      <c r="AP392" s="105"/>
    </row>
    <row r="393" spans="1:42" ht="15">
      <c r="A393" s="61" t="s">
        <v>592</v>
      </c>
      <c r="B393" s="61" t="s">
        <v>651</v>
      </c>
      <c r="C393" s="62" t="s">
        <v>2891</v>
      </c>
      <c r="D393" s="63">
        <v>5</v>
      </c>
      <c r="E393" s="62"/>
      <c r="F393" s="65">
        <v>25</v>
      </c>
      <c r="G393" s="62"/>
      <c r="H393" s="66"/>
      <c r="I393" s="67"/>
      <c r="J393" s="67"/>
      <c r="K393" s="31" t="s">
        <v>65</v>
      </c>
      <c r="L393" s="68">
        <v>393</v>
      </c>
      <c r="M393" s="68"/>
      <c r="N393" s="69"/>
      <c r="O393" s="84" t="s">
        <v>653</v>
      </c>
      <c r="P393" s="84" t="s">
        <v>215</v>
      </c>
      <c r="Q393" s="88" t="s">
        <v>1042</v>
      </c>
      <c r="R393" s="84" t="s">
        <v>592</v>
      </c>
      <c r="S393" s="84" t="s">
        <v>1430</v>
      </c>
      <c r="T393" s="90" t="str">
        <f>HYPERLINK("http://www.youtube.com/channel/UCY7USCLk46R3vYXqfIym8mA")</f>
        <v>http://www.youtube.com/channel/UCY7USCLk46R3vYXqfIym8mA</v>
      </c>
      <c r="U393" s="84"/>
      <c r="V393" s="84" t="s">
        <v>1488</v>
      </c>
      <c r="W393" s="90" t="str">
        <f>HYPERLINK("https://www.youtube.com/watch?v=f9psILoYmCc")</f>
        <v>https://www.youtube.com/watch?v=f9psILoYmCc</v>
      </c>
      <c r="X393" s="84" t="s">
        <v>1537</v>
      </c>
      <c r="Y393" s="84">
        <v>2</v>
      </c>
      <c r="Z393" s="84" t="s">
        <v>1778</v>
      </c>
      <c r="AA393" s="84" t="s">
        <v>1778</v>
      </c>
      <c r="AB393" s="84"/>
      <c r="AC393" s="84"/>
      <c r="AD393" s="88" t="s">
        <v>1874</v>
      </c>
      <c r="AE393" s="86">
        <v>1</v>
      </c>
      <c r="AF393" s="87" t="str">
        <f>REPLACE(INDEX(GroupVertices[Group],MATCH(Edges[[#This Row],[Vertex 1]],GroupVertices[Vertex],0)),1,1,"")</f>
        <v>1</v>
      </c>
      <c r="AG393" s="87" t="str">
        <f>REPLACE(INDEX(GroupVertices[Group],MATCH(Edges[[#This Row],[Vertex 2]],GroupVertices[Vertex],0)),1,1,"")</f>
        <v>1</v>
      </c>
      <c r="AH393" s="105"/>
      <c r="AI393" s="105"/>
      <c r="AJ393" s="105"/>
      <c r="AK393" s="105"/>
      <c r="AL393" s="105"/>
      <c r="AM393" s="105"/>
      <c r="AN393" s="105"/>
      <c r="AO393" s="105"/>
      <c r="AP393" s="105"/>
    </row>
    <row r="394" spans="1:42" ht="15">
      <c r="A394" s="61" t="s">
        <v>593</v>
      </c>
      <c r="B394" s="61" t="s">
        <v>651</v>
      </c>
      <c r="C394" s="62" t="s">
        <v>2891</v>
      </c>
      <c r="D394" s="63">
        <v>5</v>
      </c>
      <c r="E394" s="62"/>
      <c r="F394" s="65">
        <v>25</v>
      </c>
      <c r="G394" s="62"/>
      <c r="H394" s="66"/>
      <c r="I394" s="67"/>
      <c r="J394" s="67"/>
      <c r="K394" s="31" t="s">
        <v>65</v>
      </c>
      <c r="L394" s="68">
        <v>394</v>
      </c>
      <c r="M394" s="68"/>
      <c r="N394" s="69"/>
      <c r="O394" s="84" t="s">
        <v>653</v>
      </c>
      <c r="P394" s="84" t="s">
        <v>215</v>
      </c>
      <c r="Q394" s="88" t="s">
        <v>1043</v>
      </c>
      <c r="R394" s="84" t="s">
        <v>593</v>
      </c>
      <c r="S394" s="84" t="s">
        <v>1431</v>
      </c>
      <c r="T394" s="90" t="str">
        <f>HYPERLINK("http://www.youtube.com/channel/UCGlKJbLVM-HRu5tgi7aDdNg")</f>
        <v>http://www.youtube.com/channel/UCGlKJbLVM-HRu5tgi7aDdNg</v>
      </c>
      <c r="U394" s="84"/>
      <c r="V394" s="84" t="s">
        <v>1488</v>
      </c>
      <c r="W394" s="90" t="str">
        <f>HYPERLINK("https://www.youtube.com/watch?v=f9psILoYmCc")</f>
        <v>https://www.youtube.com/watch?v=f9psILoYmCc</v>
      </c>
      <c r="X394" s="84" t="s">
        <v>1537</v>
      </c>
      <c r="Y394" s="84">
        <v>0</v>
      </c>
      <c r="Z394" s="93">
        <v>43142.041550925926</v>
      </c>
      <c r="AA394" s="93">
        <v>43142.041550925926</v>
      </c>
      <c r="AB394" s="84"/>
      <c r="AC394" s="84"/>
      <c r="AD394" s="88" t="s">
        <v>1874</v>
      </c>
      <c r="AE394" s="86">
        <v>1</v>
      </c>
      <c r="AF394" s="87" t="str">
        <f>REPLACE(INDEX(GroupVertices[Group],MATCH(Edges[[#This Row],[Vertex 1]],GroupVertices[Vertex],0)),1,1,"")</f>
        <v>1</v>
      </c>
      <c r="AG394" s="87" t="str">
        <f>REPLACE(INDEX(GroupVertices[Group],MATCH(Edges[[#This Row],[Vertex 2]],GroupVertices[Vertex],0)),1,1,"")</f>
        <v>1</v>
      </c>
      <c r="AH394" s="105"/>
      <c r="AI394" s="105"/>
      <c r="AJ394" s="105"/>
      <c r="AK394" s="105"/>
      <c r="AL394" s="105"/>
      <c r="AM394" s="105"/>
      <c r="AN394" s="105"/>
      <c r="AO394" s="105"/>
      <c r="AP394" s="105"/>
    </row>
    <row r="395" spans="1:42" ht="15">
      <c r="A395" s="61" t="s">
        <v>594</v>
      </c>
      <c r="B395" s="61" t="s">
        <v>651</v>
      </c>
      <c r="C395" s="62" t="s">
        <v>2891</v>
      </c>
      <c r="D395" s="63">
        <v>5</v>
      </c>
      <c r="E395" s="62"/>
      <c r="F395" s="65">
        <v>25</v>
      </c>
      <c r="G395" s="62"/>
      <c r="H395" s="66"/>
      <c r="I395" s="67"/>
      <c r="J395" s="67"/>
      <c r="K395" s="31" t="s">
        <v>65</v>
      </c>
      <c r="L395" s="68">
        <v>395</v>
      </c>
      <c r="M395" s="68"/>
      <c r="N395" s="69"/>
      <c r="O395" s="84" t="s">
        <v>653</v>
      </c>
      <c r="P395" s="84" t="s">
        <v>215</v>
      </c>
      <c r="Q395" s="88" t="s">
        <v>1044</v>
      </c>
      <c r="R395" s="84" t="s">
        <v>594</v>
      </c>
      <c r="S395" s="84" t="s">
        <v>1432</v>
      </c>
      <c r="T395" s="90" t="str">
        <f>HYPERLINK("http://www.youtube.com/channel/UCkHKTPq8uioksF_fEtdSOdQ")</f>
        <v>http://www.youtube.com/channel/UCkHKTPq8uioksF_fEtdSOdQ</v>
      </c>
      <c r="U395" s="84"/>
      <c r="V395" s="84" t="s">
        <v>1488</v>
      </c>
      <c r="W395" s="90" t="str">
        <f>HYPERLINK("https://www.youtube.com/watch?v=f9psILoYmCc")</f>
        <v>https://www.youtube.com/watch?v=f9psILoYmCc</v>
      </c>
      <c r="X395" s="84" t="s">
        <v>1537</v>
      </c>
      <c r="Y395" s="84">
        <v>0</v>
      </c>
      <c r="Z395" s="93">
        <v>43201.00263888889</v>
      </c>
      <c r="AA395" s="93">
        <v>43201.00263888889</v>
      </c>
      <c r="AB395" s="84"/>
      <c r="AC395" s="84"/>
      <c r="AD395" s="88" t="s">
        <v>1874</v>
      </c>
      <c r="AE395" s="86">
        <v>1</v>
      </c>
      <c r="AF395" s="87" t="str">
        <f>REPLACE(INDEX(GroupVertices[Group],MATCH(Edges[[#This Row],[Vertex 1]],GroupVertices[Vertex],0)),1,1,"")</f>
        <v>1</v>
      </c>
      <c r="AG395" s="87" t="str">
        <f>REPLACE(INDEX(GroupVertices[Group],MATCH(Edges[[#This Row],[Vertex 2]],GroupVertices[Vertex],0)),1,1,"")</f>
        <v>1</v>
      </c>
      <c r="AH395" s="105"/>
      <c r="AI395" s="105"/>
      <c r="AJ395" s="105"/>
      <c r="AK395" s="105"/>
      <c r="AL395" s="105"/>
      <c r="AM395" s="105"/>
      <c r="AN395" s="105"/>
      <c r="AO395" s="105"/>
      <c r="AP395" s="105"/>
    </row>
    <row r="396" spans="1:42" ht="15">
      <c r="A396" s="61" t="s">
        <v>595</v>
      </c>
      <c r="B396" s="61" t="s">
        <v>651</v>
      </c>
      <c r="C396" s="62" t="s">
        <v>2891</v>
      </c>
      <c r="D396" s="63">
        <v>5</v>
      </c>
      <c r="E396" s="62"/>
      <c r="F396" s="65">
        <v>25</v>
      </c>
      <c r="G396" s="62"/>
      <c r="H396" s="66"/>
      <c r="I396" s="67"/>
      <c r="J396" s="67"/>
      <c r="K396" s="31" t="s">
        <v>65</v>
      </c>
      <c r="L396" s="68">
        <v>396</v>
      </c>
      <c r="M396" s="68"/>
      <c r="N396" s="69"/>
      <c r="O396" s="84" t="s">
        <v>653</v>
      </c>
      <c r="P396" s="84" t="s">
        <v>215</v>
      </c>
      <c r="Q396" s="88" t="s">
        <v>1045</v>
      </c>
      <c r="R396" s="84" t="s">
        <v>595</v>
      </c>
      <c r="S396" s="84" t="s">
        <v>1433</v>
      </c>
      <c r="T396" s="90" t="str">
        <f>HYPERLINK("http://www.youtube.com/channel/UC2qji7e1gOQTuCB76aVUecw")</f>
        <v>http://www.youtube.com/channel/UC2qji7e1gOQTuCB76aVUecw</v>
      </c>
      <c r="U396" s="84"/>
      <c r="V396" s="84" t="s">
        <v>1488</v>
      </c>
      <c r="W396" s="90" t="str">
        <f>HYPERLINK("https://www.youtube.com/watch?v=f9psILoYmCc")</f>
        <v>https://www.youtube.com/watch?v=f9psILoYmCc</v>
      </c>
      <c r="X396" s="84" t="s">
        <v>1537</v>
      </c>
      <c r="Y396" s="84">
        <v>1</v>
      </c>
      <c r="Z396" s="93">
        <v>43201.845185185186</v>
      </c>
      <c r="AA396" s="93">
        <v>43201.845185185186</v>
      </c>
      <c r="AB396" s="84"/>
      <c r="AC396" s="84"/>
      <c r="AD396" s="88" t="s">
        <v>1874</v>
      </c>
      <c r="AE396" s="86">
        <v>1</v>
      </c>
      <c r="AF396" s="87" t="str">
        <f>REPLACE(INDEX(GroupVertices[Group],MATCH(Edges[[#This Row],[Vertex 1]],GroupVertices[Vertex],0)),1,1,"")</f>
        <v>1</v>
      </c>
      <c r="AG396" s="87" t="str">
        <f>REPLACE(INDEX(GroupVertices[Group],MATCH(Edges[[#This Row],[Vertex 2]],GroupVertices[Vertex],0)),1,1,"")</f>
        <v>1</v>
      </c>
      <c r="AH396" s="105"/>
      <c r="AI396" s="105"/>
      <c r="AJ396" s="105"/>
      <c r="AK396" s="105"/>
      <c r="AL396" s="105"/>
      <c r="AM396" s="105"/>
      <c r="AN396" s="105"/>
      <c r="AO396" s="105"/>
      <c r="AP396" s="105"/>
    </row>
    <row r="397" spans="1:42" ht="15">
      <c r="A397" s="61" t="s">
        <v>596</v>
      </c>
      <c r="B397" s="61" t="s">
        <v>651</v>
      </c>
      <c r="C397" s="62" t="s">
        <v>2891</v>
      </c>
      <c r="D397" s="63">
        <v>5</v>
      </c>
      <c r="E397" s="62"/>
      <c r="F397" s="65">
        <v>25</v>
      </c>
      <c r="G397" s="62"/>
      <c r="H397" s="66"/>
      <c r="I397" s="67"/>
      <c r="J397" s="67"/>
      <c r="K397" s="31" t="s">
        <v>65</v>
      </c>
      <c r="L397" s="68">
        <v>397</v>
      </c>
      <c r="M397" s="68"/>
      <c r="N397" s="69"/>
      <c r="O397" s="84" t="s">
        <v>653</v>
      </c>
      <c r="P397" s="84" t="s">
        <v>215</v>
      </c>
      <c r="Q397" s="88" t="s">
        <v>1046</v>
      </c>
      <c r="R397" s="84" t="s">
        <v>596</v>
      </c>
      <c r="S397" s="84" t="s">
        <v>1434</v>
      </c>
      <c r="T397" s="90" t="str">
        <f>HYPERLINK("http://www.youtube.com/channel/UChxlItVvSgYBNtJfSCUbzVw")</f>
        <v>http://www.youtube.com/channel/UChxlItVvSgYBNtJfSCUbzVw</v>
      </c>
      <c r="U397" s="84"/>
      <c r="V397" s="84" t="s">
        <v>1488</v>
      </c>
      <c r="W397" s="90" t="str">
        <f>HYPERLINK("https://www.youtube.com/watch?v=f9psILoYmCc")</f>
        <v>https://www.youtube.com/watch?v=f9psILoYmCc</v>
      </c>
      <c r="X397" s="84" t="s">
        <v>1537</v>
      </c>
      <c r="Y397" s="84">
        <v>0</v>
      </c>
      <c r="Z397" s="93">
        <v>43231.76158564815</v>
      </c>
      <c r="AA397" s="93">
        <v>43231.76158564815</v>
      </c>
      <c r="AB397" s="84"/>
      <c r="AC397" s="84"/>
      <c r="AD397" s="88" t="s">
        <v>1874</v>
      </c>
      <c r="AE397" s="86">
        <v>1</v>
      </c>
      <c r="AF397" s="87" t="str">
        <f>REPLACE(INDEX(GroupVertices[Group],MATCH(Edges[[#This Row],[Vertex 1]],GroupVertices[Vertex],0)),1,1,"")</f>
        <v>1</v>
      </c>
      <c r="AG397" s="87" t="str">
        <f>REPLACE(INDEX(GroupVertices[Group],MATCH(Edges[[#This Row],[Vertex 2]],GroupVertices[Vertex],0)),1,1,"")</f>
        <v>1</v>
      </c>
      <c r="AH397" s="105"/>
      <c r="AI397" s="105"/>
      <c r="AJ397" s="105"/>
      <c r="AK397" s="105"/>
      <c r="AL397" s="105"/>
      <c r="AM397" s="105"/>
      <c r="AN397" s="105"/>
      <c r="AO397" s="105"/>
      <c r="AP397" s="105"/>
    </row>
    <row r="398" spans="1:42" ht="15">
      <c r="A398" s="61" t="s">
        <v>597</v>
      </c>
      <c r="B398" s="61" t="s">
        <v>651</v>
      </c>
      <c r="C398" s="62" t="s">
        <v>2891</v>
      </c>
      <c r="D398" s="63">
        <v>5</v>
      </c>
      <c r="E398" s="62"/>
      <c r="F398" s="65">
        <v>25</v>
      </c>
      <c r="G398" s="62"/>
      <c r="H398" s="66"/>
      <c r="I398" s="67"/>
      <c r="J398" s="67"/>
      <c r="K398" s="31" t="s">
        <v>65</v>
      </c>
      <c r="L398" s="68">
        <v>398</v>
      </c>
      <c r="M398" s="68"/>
      <c r="N398" s="69"/>
      <c r="O398" s="84" t="s">
        <v>653</v>
      </c>
      <c r="P398" s="84" t="s">
        <v>215</v>
      </c>
      <c r="Q398" s="88" t="s">
        <v>1047</v>
      </c>
      <c r="R398" s="84" t="s">
        <v>597</v>
      </c>
      <c r="S398" s="84" t="s">
        <v>1435</v>
      </c>
      <c r="T398" s="90" t="str">
        <f>HYPERLINK("http://www.youtube.com/channel/UCzlsypGdECICHvnqtQin2Vw")</f>
        <v>http://www.youtube.com/channel/UCzlsypGdECICHvnqtQin2Vw</v>
      </c>
      <c r="U398" s="84"/>
      <c r="V398" s="84" t="s">
        <v>1488</v>
      </c>
      <c r="W398" s="90" t="str">
        <f>HYPERLINK("https://www.youtube.com/watch?v=f9psILoYmCc")</f>
        <v>https://www.youtube.com/watch?v=f9psILoYmCc</v>
      </c>
      <c r="X398" s="84" t="s">
        <v>1537</v>
      </c>
      <c r="Y398" s="84">
        <v>0</v>
      </c>
      <c r="Z398" s="84" t="s">
        <v>1779</v>
      </c>
      <c r="AA398" s="84" t="s">
        <v>1779</v>
      </c>
      <c r="AB398" s="84"/>
      <c r="AC398" s="84"/>
      <c r="AD398" s="88" t="s">
        <v>1874</v>
      </c>
      <c r="AE398" s="86">
        <v>1</v>
      </c>
      <c r="AF398" s="87" t="str">
        <f>REPLACE(INDEX(GroupVertices[Group],MATCH(Edges[[#This Row],[Vertex 1]],GroupVertices[Vertex],0)),1,1,"")</f>
        <v>1</v>
      </c>
      <c r="AG398" s="87" t="str">
        <f>REPLACE(INDEX(GroupVertices[Group],MATCH(Edges[[#This Row],[Vertex 2]],GroupVertices[Vertex],0)),1,1,"")</f>
        <v>1</v>
      </c>
      <c r="AH398" s="105"/>
      <c r="AI398" s="105"/>
      <c r="AJ398" s="105"/>
      <c r="AK398" s="105"/>
      <c r="AL398" s="105"/>
      <c r="AM398" s="105"/>
      <c r="AN398" s="105"/>
      <c r="AO398" s="105"/>
      <c r="AP398" s="105"/>
    </row>
    <row r="399" spans="1:42" ht="15">
      <c r="A399" s="61" t="s">
        <v>598</v>
      </c>
      <c r="B399" s="61" t="s">
        <v>651</v>
      </c>
      <c r="C399" s="62" t="s">
        <v>2891</v>
      </c>
      <c r="D399" s="63">
        <v>5</v>
      </c>
      <c r="E399" s="62"/>
      <c r="F399" s="65">
        <v>25</v>
      </c>
      <c r="G399" s="62"/>
      <c r="H399" s="66"/>
      <c r="I399" s="67"/>
      <c r="J399" s="67"/>
      <c r="K399" s="31" t="s">
        <v>65</v>
      </c>
      <c r="L399" s="68">
        <v>399</v>
      </c>
      <c r="M399" s="68"/>
      <c r="N399" s="69"/>
      <c r="O399" s="84" t="s">
        <v>653</v>
      </c>
      <c r="P399" s="84" t="s">
        <v>215</v>
      </c>
      <c r="Q399" s="88" t="s">
        <v>1048</v>
      </c>
      <c r="R399" s="84" t="s">
        <v>598</v>
      </c>
      <c r="S399" s="84" t="s">
        <v>1436</v>
      </c>
      <c r="T399" s="90" t="str">
        <f>HYPERLINK("http://www.youtube.com/channel/UCEKoblHlkmsxuAQFgKBhQaQ")</f>
        <v>http://www.youtube.com/channel/UCEKoblHlkmsxuAQFgKBhQaQ</v>
      </c>
      <c r="U399" s="84"/>
      <c r="V399" s="84" t="s">
        <v>1488</v>
      </c>
      <c r="W399" s="90" t="str">
        <f>HYPERLINK("https://www.youtube.com/watch?v=f9psILoYmCc")</f>
        <v>https://www.youtube.com/watch?v=f9psILoYmCc</v>
      </c>
      <c r="X399" s="84" t="s">
        <v>1537</v>
      </c>
      <c r="Y399" s="84">
        <v>5</v>
      </c>
      <c r="Z399" s="84" t="s">
        <v>1780</v>
      </c>
      <c r="AA399" s="84" t="s">
        <v>1780</v>
      </c>
      <c r="AB399" s="84"/>
      <c r="AC399" s="84"/>
      <c r="AD399" s="88" t="s">
        <v>1874</v>
      </c>
      <c r="AE399" s="86">
        <v>1</v>
      </c>
      <c r="AF399" s="87" t="str">
        <f>REPLACE(INDEX(GroupVertices[Group],MATCH(Edges[[#This Row],[Vertex 1]],GroupVertices[Vertex],0)),1,1,"")</f>
        <v>1</v>
      </c>
      <c r="AG399" s="87" t="str">
        <f>REPLACE(INDEX(GroupVertices[Group],MATCH(Edges[[#This Row],[Vertex 2]],GroupVertices[Vertex],0)),1,1,"")</f>
        <v>1</v>
      </c>
      <c r="AH399" s="105"/>
      <c r="AI399" s="105"/>
      <c r="AJ399" s="105"/>
      <c r="AK399" s="105"/>
      <c r="AL399" s="105"/>
      <c r="AM399" s="105"/>
      <c r="AN399" s="105"/>
      <c r="AO399" s="105"/>
      <c r="AP399" s="105"/>
    </row>
    <row r="400" spans="1:42" ht="15">
      <c r="A400" s="61" t="s">
        <v>599</v>
      </c>
      <c r="B400" s="61" t="s">
        <v>651</v>
      </c>
      <c r="C400" s="62" t="s">
        <v>2891</v>
      </c>
      <c r="D400" s="63">
        <v>5</v>
      </c>
      <c r="E400" s="62"/>
      <c r="F400" s="65">
        <v>25</v>
      </c>
      <c r="G400" s="62"/>
      <c r="H400" s="66"/>
      <c r="I400" s="67"/>
      <c r="J400" s="67"/>
      <c r="K400" s="31" t="s">
        <v>65</v>
      </c>
      <c r="L400" s="68">
        <v>400</v>
      </c>
      <c r="M400" s="68"/>
      <c r="N400" s="69"/>
      <c r="O400" s="84" t="s">
        <v>653</v>
      </c>
      <c r="P400" s="84" t="s">
        <v>215</v>
      </c>
      <c r="Q400" s="88" t="s">
        <v>1049</v>
      </c>
      <c r="R400" s="84" t="s">
        <v>599</v>
      </c>
      <c r="S400" s="84" t="s">
        <v>1437</v>
      </c>
      <c r="T400" s="90" t="str">
        <f>HYPERLINK("http://www.youtube.com/channel/UCmcfn6dwihiPvRYeoYUcTuQ")</f>
        <v>http://www.youtube.com/channel/UCmcfn6dwihiPvRYeoYUcTuQ</v>
      </c>
      <c r="U400" s="84"/>
      <c r="V400" s="84" t="s">
        <v>1488</v>
      </c>
      <c r="W400" s="90" t="str">
        <f>HYPERLINK("https://www.youtube.com/watch?v=f9psILoYmCc")</f>
        <v>https://www.youtube.com/watch?v=f9psILoYmCc</v>
      </c>
      <c r="X400" s="84" t="s">
        <v>1537</v>
      </c>
      <c r="Y400" s="84">
        <v>2</v>
      </c>
      <c r="Z400" s="93">
        <v>43624.41568287037</v>
      </c>
      <c r="AA400" s="93">
        <v>43624.41568287037</v>
      </c>
      <c r="AB400" s="84"/>
      <c r="AC400" s="84"/>
      <c r="AD400" s="88" t="s">
        <v>1874</v>
      </c>
      <c r="AE400" s="86">
        <v>1</v>
      </c>
      <c r="AF400" s="87" t="str">
        <f>REPLACE(INDEX(GroupVertices[Group],MATCH(Edges[[#This Row],[Vertex 1]],GroupVertices[Vertex],0)),1,1,"")</f>
        <v>1</v>
      </c>
      <c r="AG400" s="87" t="str">
        <f>REPLACE(INDEX(GroupVertices[Group],MATCH(Edges[[#This Row],[Vertex 2]],GroupVertices[Vertex],0)),1,1,"")</f>
        <v>1</v>
      </c>
      <c r="AH400" s="105"/>
      <c r="AI400" s="105"/>
      <c r="AJ400" s="105"/>
      <c r="AK400" s="105"/>
      <c r="AL400" s="105"/>
      <c r="AM400" s="105"/>
      <c r="AN400" s="105"/>
      <c r="AO400" s="105"/>
      <c r="AP400" s="105"/>
    </row>
    <row r="401" spans="1:42" ht="15">
      <c r="A401" s="61" t="s">
        <v>600</v>
      </c>
      <c r="B401" s="61" t="s">
        <v>651</v>
      </c>
      <c r="C401" s="62" t="s">
        <v>2891</v>
      </c>
      <c r="D401" s="63">
        <v>5</v>
      </c>
      <c r="E401" s="62"/>
      <c r="F401" s="65">
        <v>25</v>
      </c>
      <c r="G401" s="62"/>
      <c r="H401" s="66"/>
      <c r="I401" s="67"/>
      <c r="J401" s="67"/>
      <c r="K401" s="31" t="s">
        <v>65</v>
      </c>
      <c r="L401" s="68">
        <v>401</v>
      </c>
      <c r="M401" s="68"/>
      <c r="N401" s="69"/>
      <c r="O401" s="84" t="s">
        <v>653</v>
      </c>
      <c r="P401" s="84" t="s">
        <v>215</v>
      </c>
      <c r="Q401" s="88" t="s">
        <v>1050</v>
      </c>
      <c r="R401" s="84" t="s">
        <v>600</v>
      </c>
      <c r="S401" s="84" t="s">
        <v>1438</v>
      </c>
      <c r="T401" s="90" t="str">
        <f>HYPERLINK("http://www.youtube.com/channel/UCO3jHXcKlPehZomoKHovdbA")</f>
        <v>http://www.youtube.com/channel/UCO3jHXcKlPehZomoKHovdbA</v>
      </c>
      <c r="U401" s="84"/>
      <c r="V401" s="84" t="s">
        <v>1488</v>
      </c>
      <c r="W401" s="90" t="str">
        <f>HYPERLINK("https://www.youtube.com/watch?v=f9psILoYmCc")</f>
        <v>https://www.youtube.com/watch?v=f9psILoYmCc</v>
      </c>
      <c r="X401" s="84" t="s">
        <v>1537</v>
      </c>
      <c r="Y401" s="84">
        <v>6</v>
      </c>
      <c r="Z401" s="93">
        <v>43654.9447337963</v>
      </c>
      <c r="AA401" s="93">
        <v>43654.9447337963</v>
      </c>
      <c r="AB401" s="84"/>
      <c r="AC401" s="84"/>
      <c r="AD401" s="88" t="s">
        <v>1874</v>
      </c>
      <c r="AE401" s="86">
        <v>1</v>
      </c>
      <c r="AF401" s="87" t="str">
        <f>REPLACE(INDEX(GroupVertices[Group],MATCH(Edges[[#This Row],[Vertex 1]],GroupVertices[Vertex],0)),1,1,"")</f>
        <v>1</v>
      </c>
      <c r="AG401" s="87" t="str">
        <f>REPLACE(INDEX(GroupVertices[Group],MATCH(Edges[[#This Row],[Vertex 2]],GroupVertices[Vertex],0)),1,1,"")</f>
        <v>1</v>
      </c>
      <c r="AH401" s="105"/>
      <c r="AI401" s="105"/>
      <c r="AJ401" s="105"/>
      <c r="AK401" s="105"/>
      <c r="AL401" s="105"/>
      <c r="AM401" s="105"/>
      <c r="AN401" s="105"/>
      <c r="AO401" s="105"/>
      <c r="AP401" s="105"/>
    </row>
    <row r="402" spans="1:42" ht="15">
      <c r="A402" s="61" t="s">
        <v>601</v>
      </c>
      <c r="B402" s="61" t="s">
        <v>651</v>
      </c>
      <c r="C402" s="62" t="s">
        <v>2891</v>
      </c>
      <c r="D402" s="63">
        <v>5</v>
      </c>
      <c r="E402" s="62"/>
      <c r="F402" s="65">
        <v>25</v>
      </c>
      <c r="G402" s="62"/>
      <c r="H402" s="66"/>
      <c r="I402" s="67"/>
      <c r="J402" s="67"/>
      <c r="K402" s="31" t="s">
        <v>65</v>
      </c>
      <c r="L402" s="68">
        <v>402</v>
      </c>
      <c r="M402" s="68"/>
      <c r="N402" s="69"/>
      <c r="O402" s="84" t="s">
        <v>653</v>
      </c>
      <c r="P402" s="84" t="s">
        <v>215</v>
      </c>
      <c r="Q402" s="88" t="s">
        <v>1051</v>
      </c>
      <c r="R402" s="84" t="s">
        <v>601</v>
      </c>
      <c r="S402" s="84" t="s">
        <v>1439</v>
      </c>
      <c r="T402" s="90" t="str">
        <f>HYPERLINK("http://www.youtube.com/channel/UCeNTItdmY67VMstASY9kYBQ")</f>
        <v>http://www.youtube.com/channel/UCeNTItdmY67VMstASY9kYBQ</v>
      </c>
      <c r="U402" s="84"/>
      <c r="V402" s="84" t="s">
        <v>1488</v>
      </c>
      <c r="W402" s="90" t="str">
        <f>HYPERLINK("https://www.youtube.com/watch?v=f9psILoYmCc")</f>
        <v>https://www.youtube.com/watch?v=f9psILoYmCc</v>
      </c>
      <c r="X402" s="84" t="s">
        <v>1537</v>
      </c>
      <c r="Y402" s="84">
        <v>0</v>
      </c>
      <c r="Z402" s="84" t="s">
        <v>1781</v>
      </c>
      <c r="AA402" s="84" t="s">
        <v>1781</v>
      </c>
      <c r="AB402" s="84"/>
      <c r="AC402" s="84"/>
      <c r="AD402" s="88" t="s">
        <v>1874</v>
      </c>
      <c r="AE402" s="86">
        <v>1</v>
      </c>
      <c r="AF402" s="87" t="str">
        <f>REPLACE(INDEX(GroupVertices[Group],MATCH(Edges[[#This Row],[Vertex 1]],GroupVertices[Vertex],0)),1,1,"")</f>
        <v>1</v>
      </c>
      <c r="AG402" s="87" t="str">
        <f>REPLACE(INDEX(GroupVertices[Group],MATCH(Edges[[#This Row],[Vertex 2]],GroupVertices[Vertex],0)),1,1,"")</f>
        <v>1</v>
      </c>
      <c r="AH402" s="105"/>
      <c r="AI402" s="105"/>
      <c r="AJ402" s="105"/>
      <c r="AK402" s="105"/>
      <c r="AL402" s="105"/>
      <c r="AM402" s="105"/>
      <c r="AN402" s="105"/>
      <c r="AO402" s="105"/>
      <c r="AP402" s="105"/>
    </row>
    <row r="403" spans="1:42" ht="15">
      <c r="A403" s="61" t="s">
        <v>602</v>
      </c>
      <c r="B403" s="61" t="s">
        <v>651</v>
      </c>
      <c r="C403" s="62" t="s">
        <v>2891</v>
      </c>
      <c r="D403" s="63">
        <v>5</v>
      </c>
      <c r="E403" s="62"/>
      <c r="F403" s="65">
        <v>25</v>
      </c>
      <c r="G403" s="62"/>
      <c r="H403" s="66"/>
      <c r="I403" s="67"/>
      <c r="J403" s="67"/>
      <c r="K403" s="31" t="s">
        <v>65</v>
      </c>
      <c r="L403" s="68">
        <v>403</v>
      </c>
      <c r="M403" s="68"/>
      <c r="N403" s="69"/>
      <c r="O403" s="84" t="s">
        <v>653</v>
      </c>
      <c r="P403" s="84" t="s">
        <v>215</v>
      </c>
      <c r="Q403" s="88" t="s">
        <v>1052</v>
      </c>
      <c r="R403" s="84" t="s">
        <v>602</v>
      </c>
      <c r="S403" s="84" t="s">
        <v>1440</v>
      </c>
      <c r="T403" s="90" t="str">
        <f>HYPERLINK("http://www.youtube.com/channel/UCQsrjPueWUyqLGR_31n6xdA")</f>
        <v>http://www.youtube.com/channel/UCQsrjPueWUyqLGR_31n6xdA</v>
      </c>
      <c r="U403" s="84"/>
      <c r="V403" s="84" t="s">
        <v>1488</v>
      </c>
      <c r="W403" s="90" t="str">
        <f>HYPERLINK("https://www.youtube.com/watch?v=f9psILoYmCc")</f>
        <v>https://www.youtube.com/watch?v=f9psILoYmCc</v>
      </c>
      <c r="X403" s="84" t="s">
        <v>1537</v>
      </c>
      <c r="Y403" s="84">
        <v>77</v>
      </c>
      <c r="Z403" s="84" t="s">
        <v>1782</v>
      </c>
      <c r="AA403" s="84" t="s">
        <v>1782</v>
      </c>
      <c r="AB403" s="84"/>
      <c r="AC403" s="84"/>
      <c r="AD403" s="88" t="s">
        <v>1874</v>
      </c>
      <c r="AE403" s="86">
        <v>1</v>
      </c>
      <c r="AF403" s="87" t="str">
        <f>REPLACE(INDEX(GroupVertices[Group],MATCH(Edges[[#This Row],[Vertex 1]],GroupVertices[Vertex],0)),1,1,"")</f>
        <v>1</v>
      </c>
      <c r="AG403" s="87" t="str">
        <f>REPLACE(INDEX(GroupVertices[Group],MATCH(Edges[[#This Row],[Vertex 2]],GroupVertices[Vertex],0)),1,1,"")</f>
        <v>1</v>
      </c>
      <c r="AH403" s="105"/>
      <c r="AI403" s="105"/>
      <c r="AJ403" s="105"/>
      <c r="AK403" s="105"/>
      <c r="AL403" s="105"/>
      <c r="AM403" s="105"/>
      <c r="AN403" s="105"/>
      <c r="AO403" s="105"/>
      <c r="AP403" s="105"/>
    </row>
    <row r="404" spans="1:42" ht="15">
      <c r="A404" s="61" t="s">
        <v>603</v>
      </c>
      <c r="B404" s="61" t="s">
        <v>651</v>
      </c>
      <c r="C404" s="62" t="s">
        <v>2891</v>
      </c>
      <c r="D404" s="63">
        <v>5</v>
      </c>
      <c r="E404" s="62"/>
      <c r="F404" s="65">
        <v>25</v>
      </c>
      <c r="G404" s="62"/>
      <c r="H404" s="66"/>
      <c r="I404" s="67"/>
      <c r="J404" s="67"/>
      <c r="K404" s="31" t="s">
        <v>65</v>
      </c>
      <c r="L404" s="68">
        <v>404</v>
      </c>
      <c r="M404" s="68"/>
      <c r="N404" s="69"/>
      <c r="O404" s="84" t="s">
        <v>653</v>
      </c>
      <c r="P404" s="84" t="s">
        <v>215</v>
      </c>
      <c r="Q404" s="88" t="s">
        <v>1053</v>
      </c>
      <c r="R404" s="84" t="s">
        <v>603</v>
      </c>
      <c r="S404" s="84" t="s">
        <v>1441</v>
      </c>
      <c r="T404" s="90" t="str">
        <f>HYPERLINK("http://www.youtube.com/channel/UChDa2pVRP6qj-V1PMMnPpLQ")</f>
        <v>http://www.youtube.com/channel/UChDa2pVRP6qj-V1PMMnPpLQ</v>
      </c>
      <c r="U404" s="84"/>
      <c r="V404" s="84" t="s">
        <v>1488</v>
      </c>
      <c r="W404" s="90" t="str">
        <f>HYPERLINK("https://www.youtube.com/watch?v=f9psILoYmCc")</f>
        <v>https://www.youtube.com/watch?v=f9psILoYmCc</v>
      </c>
      <c r="X404" s="84" t="s">
        <v>1537</v>
      </c>
      <c r="Y404" s="84">
        <v>3</v>
      </c>
      <c r="Z404" s="84" t="s">
        <v>1783</v>
      </c>
      <c r="AA404" s="84" t="s">
        <v>1783</v>
      </c>
      <c r="AB404" s="84"/>
      <c r="AC404" s="84"/>
      <c r="AD404" s="88" t="s">
        <v>1874</v>
      </c>
      <c r="AE404" s="86">
        <v>1</v>
      </c>
      <c r="AF404" s="87" t="str">
        <f>REPLACE(INDEX(GroupVertices[Group],MATCH(Edges[[#This Row],[Vertex 1]],GroupVertices[Vertex],0)),1,1,"")</f>
        <v>1</v>
      </c>
      <c r="AG404" s="87" t="str">
        <f>REPLACE(INDEX(GroupVertices[Group],MATCH(Edges[[#This Row],[Vertex 2]],GroupVertices[Vertex],0)),1,1,"")</f>
        <v>1</v>
      </c>
      <c r="AH404" s="105"/>
      <c r="AI404" s="105"/>
      <c r="AJ404" s="105"/>
      <c r="AK404" s="105"/>
      <c r="AL404" s="105"/>
      <c r="AM404" s="105"/>
      <c r="AN404" s="105"/>
      <c r="AO404" s="105"/>
      <c r="AP404" s="105"/>
    </row>
    <row r="405" spans="1:42" ht="15">
      <c r="A405" s="61" t="s">
        <v>604</v>
      </c>
      <c r="B405" s="61" t="s">
        <v>651</v>
      </c>
      <c r="C405" s="62" t="s">
        <v>2891</v>
      </c>
      <c r="D405" s="63">
        <v>5</v>
      </c>
      <c r="E405" s="62"/>
      <c r="F405" s="65">
        <v>25</v>
      </c>
      <c r="G405" s="62"/>
      <c r="H405" s="66"/>
      <c r="I405" s="67"/>
      <c r="J405" s="67"/>
      <c r="K405" s="31" t="s">
        <v>65</v>
      </c>
      <c r="L405" s="68">
        <v>405</v>
      </c>
      <c r="M405" s="68"/>
      <c r="N405" s="69"/>
      <c r="O405" s="84" t="s">
        <v>653</v>
      </c>
      <c r="P405" s="84" t="s">
        <v>215</v>
      </c>
      <c r="Q405" s="88" t="s">
        <v>1054</v>
      </c>
      <c r="R405" s="84" t="s">
        <v>604</v>
      </c>
      <c r="S405" s="84" t="s">
        <v>1442</v>
      </c>
      <c r="T405" s="90" t="str">
        <f>HYPERLINK("http://www.youtube.com/channel/UCzVhgK2IRJd17_85DOSNkIw")</f>
        <v>http://www.youtube.com/channel/UCzVhgK2IRJd17_85DOSNkIw</v>
      </c>
      <c r="U405" s="84"/>
      <c r="V405" s="84" t="s">
        <v>1488</v>
      </c>
      <c r="W405" s="90" t="str">
        <f>HYPERLINK("https://www.youtube.com/watch?v=f9psILoYmCc")</f>
        <v>https://www.youtube.com/watch?v=f9psILoYmCc</v>
      </c>
      <c r="X405" s="84" t="s">
        <v>1537</v>
      </c>
      <c r="Y405" s="84">
        <v>19</v>
      </c>
      <c r="Z405" s="93">
        <v>43507.134560185186</v>
      </c>
      <c r="AA405" s="93">
        <v>43507.134560185186</v>
      </c>
      <c r="AB405" s="84"/>
      <c r="AC405" s="84"/>
      <c r="AD405" s="88" t="s">
        <v>1874</v>
      </c>
      <c r="AE405" s="86">
        <v>1</v>
      </c>
      <c r="AF405" s="87" t="str">
        <f>REPLACE(INDEX(GroupVertices[Group],MATCH(Edges[[#This Row],[Vertex 1]],GroupVertices[Vertex],0)),1,1,"")</f>
        <v>1</v>
      </c>
      <c r="AG405" s="87" t="str">
        <f>REPLACE(INDEX(GroupVertices[Group],MATCH(Edges[[#This Row],[Vertex 2]],GroupVertices[Vertex],0)),1,1,"")</f>
        <v>1</v>
      </c>
      <c r="AH405" s="105"/>
      <c r="AI405" s="105"/>
      <c r="AJ405" s="105"/>
      <c r="AK405" s="105"/>
      <c r="AL405" s="105"/>
      <c r="AM405" s="105"/>
      <c r="AN405" s="105"/>
      <c r="AO405" s="105"/>
      <c r="AP405" s="105"/>
    </row>
    <row r="406" spans="1:42" ht="15">
      <c r="A406" s="61" t="s">
        <v>605</v>
      </c>
      <c r="B406" s="61" t="s">
        <v>651</v>
      </c>
      <c r="C406" s="62" t="s">
        <v>2891</v>
      </c>
      <c r="D406" s="63">
        <v>5</v>
      </c>
      <c r="E406" s="62"/>
      <c r="F406" s="65">
        <v>25</v>
      </c>
      <c r="G406" s="62"/>
      <c r="H406" s="66"/>
      <c r="I406" s="67"/>
      <c r="J406" s="67"/>
      <c r="K406" s="31" t="s">
        <v>65</v>
      </c>
      <c r="L406" s="68">
        <v>406</v>
      </c>
      <c r="M406" s="68"/>
      <c r="N406" s="69"/>
      <c r="O406" s="84" t="s">
        <v>653</v>
      </c>
      <c r="P406" s="84" t="s">
        <v>215</v>
      </c>
      <c r="Q406" s="88" t="s">
        <v>1055</v>
      </c>
      <c r="R406" s="84" t="s">
        <v>605</v>
      </c>
      <c r="S406" s="84" t="s">
        <v>1443</v>
      </c>
      <c r="T406" s="90" t="str">
        <f>HYPERLINK("http://www.youtube.com/channel/UC-fUhJhbbrB2CWLGCXmnsQw")</f>
        <v>http://www.youtube.com/channel/UC-fUhJhbbrB2CWLGCXmnsQw</v>
      </c>
      <c r="U406" s="84"/>
      <c r="V406" s="84" t="s">
        <v>1488</v>
      </c>
      <c r="W406" s="90" t="str">
        <f>HYPERLINK("https://www.youtube.com/watch?v=f9psILoYmCc")</f>
        <v>https://www.youtube.com/watch?v=f9psILoYmCc</v>
      </c>
      <c r="X406" s="84" t="s">
        <v>1537</v>
      </c>
      <c r="Y406" s="84">
        <v>8</v>
      </c>
      <c r="Z406" s="84" t="s">
        <v>1784</v>
      </c>
      <c r="AA406" s="84" t="s">
        <v>1784</v>
      </c>
      <c r="AB406" s="84"/>
      <c r="AC406" s="84"/>
      <c r="AD406" s="88" t="s">
        <v>1874</v>
      </c>
      <c r="AE406" s="86">
        <v>1</v>
      </c>
      <c r="AF406" s="87" t="str">
        <f>REPLACE(INDEX(GroupVertices[Group],MATCH(Edges[[#This Row],[Vertex 1]],GroupVertices[Vertex],0)),1,1,"")</f>
        <v>1</v>
      </c>
      <c r="AG406" s="87" t="str">
        <f>REPLACE(INDEX(GroupVertices[Group],MATCH(Edges[[#This Row],[Vertex 2]],GroupVertices[Vertex],0)),1,1,"")</f>
        <v>1</v>
      </c>
      <c r="AH406" s="105"/>
      <c r="AI406" s="105"/>
      <c r="AJ406" s="105"/>
      <c r="AK406" s="105"/>
      <c r="AL406" s="105"/>
      <c r="AM406" s="105"/>
      <c r="AN406" s="105"/>
      <c r="AO406" s="105"/>
      <c r="AP406" s="105"/>
    </row>
    <row r="407" spans="1:42" ht="15">
      <c r="A407" s="61" t="s">
        <v>606</v>
      </c>
      <c r="B407" s="61" t="s">
        <v>606</v>
      </c>
      <c r="C407" s="62" t="s">
        <v>2891</v>
      </c>
      <c r="D407" s="63">
        <v>5</v>
      </c>
      <c r="E407" s="62"/>
      <c r="F407" s="65">
        <v>25</v>
      </c>
      <c r="G407" s="62"/>
      <c r="H407" s="66"/>
      <c r="I407" s="67"/>
      <c r="J407" s="67"/>
      <c r="K407" s="31" t="s">
        <v>65</v>
      </c>
      <c r="L407" s="68">
        <v>407</v>
      </c>
      <c r="M407" s="68"/>
      <c r="N407" s="69"/>
      <c r="O407" s="84" t="s">
        <v>653</v>
      </c>
      <c r="P407" s="84" t="s">
        <v>215</v>
      </c>
      <c r="Q407" s="88" t="s">
        <v>1056</v>
      </c>
      <c r="R407" s="84" t="s">
        <v>606</v>
      </c>
      <c r="S407" s="84" t="s">
        <v>1444</v>
      </c>
      <c r="T407" s="90" t="str">
        <f>HYPERLINK("http://www.youtube.com/channel/UCw4G4L-F-mD5zMljpvc2gtA")</f>
        <v>http://www.youtube.com/channel/UCw4G4L-F-mD5zMljpvc2gtA</v>
      </c>
      <c r="U407" s="84"/>
      <c r="V407" s="84" t="s">
        <v>1453</v>
      </c>
      <c r="W407" s="90" t="str">
        <f>HYPERLINK("https://www.youtube.com/watch?v=1bh2dHZIrHI")</f>
        <v>https://www.youtube.com/watch?v=1bh2dHZIrHI</v>
      </c>
      <c r="X407" s="84" t="s">
        <v>1537</v>
      </c>
      <c r="Y407" s="84">
        <v>2</v>
      </c>
      <c r="Z407" s="84" t="s">
        <v>1785</v>
      </c>
      <c r="AA407" s="84" t="s">
        <v>1785</v>
      </c>
      <c r="AB407" s="84" t="s">
        <v>1867</v>
      </c>
      <c r="AC407" s="84" t="s">
        <v>1873</v>
      </c>
      <c r="AD407" s="88" t="s">
        <v>1874</v>
      </c>
      <c r="AE407" s="86">
        <v>1</v>
      </c>
      <c r="AF407" s="87" t="str">
        <f>REPLACE(INDEX(GroupVertices[Group],MATCH(Edges[[#This Row],[Vertex 1]],GroupVertices[Vertex],0)),1,1,"")</f>
        <v>13</v>
      </c>
      <c r="AG407" s="87" t="str">
        <f>REPLACE(INDEX(GroupVertices[Group],MATCH(Edges[[#This Row],[Vertex 2]],GroupVertices[Vertex],0)),1,1,"")</f>
        <v>13</v>
      </c>
      <c r="AH407" s="105"/>
      <c r="AI407" s="105"/>
      <c r="AJ407" s="105"/>
      <c r="AK407" s="105"/>
      <c r="AL407" s="105"/>
      <c r="AM407" s="105"/>
      <c r="AN407" s="105"/>
      <c r="AO407" s="105"/>
      <c r="AP407" s="105"/>
    </row>
    <row r="408" spans="1:42" ht="15">
      <c r="A408" s="61" t="s">
        <v>606</v>
      </c>
      <c r="B408" s="61" t="s">
        <v>606</v>
      </c>
      <c r="C408" s="62" t="s">
        <v>2891</v>
      </c>
      <c r="D408" s="63">
        <v>5</v>
      </c>
      <c r="E408" s="62"/>
      <c r="F408" s="65">
        <v>25</v>
      </c>
      <c r="G408" s="62"/>
      <c r="H408" s="66"/>
      <c r="I408" s="67"/>
      <c r="J408" s="67"/>
      <c r="K408" s="31" t="s">
        <v>65</v>
      </c>
      <c r="L408" s="68">
        <v>408</v>
      </c>
      <c r="M408" s="68"/>
      <c r="N408" s="69"/>
      <c r="O408" s="84" t="s">
        <v>654</v>
      </c>
      <c r="P408" s="84"/>
      <c r="Q408" s="84"/>
      <c r="R408" s="84"/>
      <c r="S408" s="84"/>
      <c r="T408" s="84"/>
      <c r="U408" s="84"/>
      <c r="V408" s="84" t="s">
        <v>1453</v>
      </c>
      <c r="W408" s="90" t="str">
        <f>HYPERLINK("https://www.youtube.com/watch?v=1bh2dHZIrHI")</f>
        <v>https://www.youtube.com/watch?v=1bh2dHZIrHI</v>
      </c>
      <c r="X408" s="84"/>
      <c r="Y408" s="84"/>
      <c r="Z408" s="84" t="s">
        <v>1786</v>
      </c>
      <c r="AA408" s="84"/>
      <c r="AB408" s="84"/>
      <c r="AC408" s="84"/>
      <c r="AD408" s="84"/>
      <c r="AE408">
        <v>1</v>
      </c>
      <c r="AF408" s="83" t="str">
        <f>REPLACE(INDEX(GroupVertices[Group],MATCH(Edges[[#This Row],[Vertex 1]],GroupVertices[Vertex],0)),1,1,"")</f>
        <v>13</v>
      </c>
      <c r="AG408" s="83" t="str">
        <f>REPLACE(INDEX(GroupVertices[Group],MATCH(Edges[[#This Row],[Vertex 2]],GroupVertices[Vertex],0)),1,1,"")</f>
        <v>13</v>
      </c>
      <c r="AH408" s="31"/>
      <c r="AI408" s="31"/>
      <c r="AJ408" s="31"/>
      <c r="AK408" s="31"/>
      <c r="AL408" s="31"/>
      <c r="AM408" s="31"/>
      <c r="AN408" s="31"/>
      <c r="AO408" s="31"/>
      <c r="AP408" s="31"/>
    </row>
    <row r="409" spans="1:42" ht="15">
      <c r="A409" s="61" t="s">
        <v>607</v>
      </c>
      <c r="B409" s="61" t="s">
        <v>607</v>
      </c>
      <c r="C409" s="62" t="s">
        <v>2891</v>
      </c>
      <c r="D409" s="63">
        <v>5</v>
      </c>
      <c r="E409" s="62"/>
      <c r="F409" s="65">
        <v>25</v>
      </c>
      <c r="G409" s="62"/>
      <c r="H409" s="66"/>
      <c r="I409" s="67"/>
      <c r="J409" s="67"/>
      <c r="K409" s="31" t="s">
        <v>65</v>
      </c>
      <c r="L409" s="68">
        <v>409</v>
      </c>
      <c r="M409" s="68"/>
      <c r="N409" s="69"/>
      <c r="O409" s="84" t="s">
        <v>654</v>
      </c>
      <c r="P409" s="84"/>
      <c r="Q409" s="84"/>
      <c r="R409" s="84"/>
      <c r="S409" s="84"/>
      <c r="T409" s="84"/>
      <c r="U409" s="84"/>
      <c r="V409" s="84" t="s">
        <v>1489</v>
      </c>
      <c r="W409" s="90" t="str">
        <f>HYPERLINK("https://www.youtube.com/watch?v=nzpOL-myKOM")</f>
        <v>https://www.youtube.com/watch?v=nzpOL-myKOM</v>
      </c>
      <c r="X409" s="84"/>
      <c r="Y409" s="84"/>
      <c r="Z409" s="93">
        <v>44807.33460648148</v>
      </c>
      <c r="AA409" s="84"/>
      <c r="AB409" s="84"/>
      <c r="AC409" s="84"/>
      <c r="AD409" s="84"/>
      <c r="AE409">
        <v>1</v>
      </c>
      <c r="AF409" s="83" t="str">
        <f>REPLACE(INDEX(GroupVertices[Group],MATCH(Edges[[#This Row],[Vertex 1]],GroupVertices[Vertex],0)),1,1,"")</f>
        <v>6</v>
      </c>
      <c r="AG409" s="83" t="str">
        <f>REPLACE(INDEX(GroupVertices[Group],MATCH(Edges[[#This Row],[Vertex 2]],GroupVertices[Vertex],0)),1,1,"")</f>
        <v>6</v>
      </c>
      <c r="AH409" s="31"/>
      <c r="AI409" s="31"/>
      <c r="AJ409" s="31"/>
      <c r="AK409" s="31"/>
      <c r="AL409" s="31"/>
      <c r="AM409" s="31"/>
      <c r="AN409" s="31"/>
      <c r="AO409" s="31"/>
      <c r="AP409" s="31"/>
    </row>
    <row r="410" spans="1:42" ht="15">
      <c r="A410" s="61" t="s">
        <v>608</v>
      </c>
      <c r="B410" s="61" t="s">
        <v>608</v>
      </c>
      <c r="C410" s="62" t="s">
        <v>2892</v>
      </c>
      <c r="D410" s="63">
        <v>5.833333333333333</v>
      </c>
      <c r="E410" s="62"/>
      <c r="F410" s="65">
        <v>15</v>
      </c>
      <c r="G410" s="62"/>
      <c r="H410" s="66"/>
      <c r="I410" s="67"/>
      <c r="J410" s="67"/>
      <c r="K410" s="31" t="s">
        <v>65</v>
      </c>
      <c r="L410" s="68">
        <v>410</v>
      </c>
      <c r="M410" s="68"/>
      <c r="N410" s="69"/>
      <c r="O410" s="84" t="s">
        <v>654</v>
      </c>
      <c r="P410" s="84"/>
      <c r="Q410" s="84"/>
      <c r="R410" s="84"/>
      <c r="S410" s="84"/>
      <c r="T410" s="84"/>
      <c r="U410" s="84"/>
      <c r="V410" s="84" t="s">
        <v>1490</v>
      </c>
      <c r="W410" s="90" t="str">
        <f>HYPERLINK("https://www.youtube.com/watch?v=-mi8HJ6kDbY")</f>
        <v>https://www.youtube.com/watch?v=-mi8HJ6kDbY</v>
      </c>
      <c r="X410" s="84"/>
      <c r="Y410" s="84"/>
      <c r="Z410" s="84" t="s">
        <v>1787</v>
      </c>
      <c r="AA410" s="84"/>
      <c r="AB410" s="84"/>
      <c r="AC410" s="84"/>
      <c r="AD410" s="84"/>
      <c r="AE410">
        <v>2</v>
      </c>
      <c r="AF410" s="83" t="str">
        <f>REPLACE(INDEX(GroupVertices[Group],MATCH(Edges[[#This Row],[Vertex 1]],GroupVertices[Vertex],0)),1,1,"")</f>
        <v>6</v>
      </c>
      <c r="AG410" s="83" t="str">
        <f>REPLACE(INDEX(GroupVertices[Group],MATCH(Edges[[#This Row],[Vertex 2]],GroupVertices[Vertex],0)),1,1,"")</f>
        <v>6</v>
      </c>
      <c r="AH410" s="31"/>
      <c r="AI410" s="31"/>
      <c r="AJ410" s="31"/>
      <c r="AK410" s="31"/>
      <c r="AL410" s="31"/>
      <c r="AM410" s="31"/>
      <c r="AN410" s="31"/>
      <c r="AO410" s="31"/>
      <c r="AP410" s="31"/>
    </row>
    <row r="411" spans="1:42" ht="15">
      <c r="A411" s="61" t="s">
        <v>608</v>
      </c>
      <c r="B411" s="61" t="s">
        <v>608</v>
      </c>
      <c r="C411" s="62" t="s">
        <v>2892</v>
      </c>
      <c r="D411" s="63">
        <v>5.833333333333333</v>
      </c>
      <c r="E411" s="62"/>
      <c r="F411" s="65">
        <v>15</v>
      </c>
      <c r="G411" s="62"/>
      <c r="H411" s="66"/>
      <c r="I411" s="67"/>
      <c r="J411" s="67"/>
      <c r="K411" s="31" t="s">
        <v>65</v>
      </c>
      <c r="L411" s="68">
        <v>411</v>
      </c>
      <c r="M411" s="68"/>
      <c r="N411" s="69"/>
      <c r="O411" s="84" t="s">
        <v>654</v>
      </c>
      <c r="P411" s="84"/>
      <c r="Q411" s="84"/>
      <c r="R411" s="84"/>
      <c r="S411" s="84"/>
      <c r="T411" s="84"/>
      <c r="U411" s="84"/>
      <c r="V411" s="84" t="s">
        <v>1491</v>
      </c>
      <c r="W411" s="90" t="str">
        <f>HYPERLINK("https://www.youtube.com/watch?v=G2zd9Uqm9m8")</f>
        <v>https://www.youtube.com/watch?v=G2zd9Uqm9m8</v>
      </c>
      <c r="X411" s="84"/>
      <c r="Y411" s="84"/>
      <c r="Z411" s="84" t="s">
        <v>1788</v>
      </c>
      <c r="AA411" s="84"/>
      <c r="AB411" s="84"/>
      <c r="AC411" s="84"/>
      <c r="AD411" s="84"/>
      <c r="AE411">
        <v>2</v>
      </c>
      <c r="AF411" s="83" t="str">
        <f>REPLACE(INDEX(GroupVertices[Group],MATCH(Edges[[#This Row],[Vertex 1]],GroupVertices[Vertex],0)),1,1,"")</f>
        <v>6</v>
      </c>
      <c r="AG411" s="83" t="str">
        <f>REPLACE(INDEX(GroupVertices[Group],MATCH(Edges[[#This Row],[Vertex 2]],GroupVertices[Vertex],0)),1,1,"")</f>
        <v>6</v>
      </c>
      <c r="AH411" s="31"/>
      <c r="AI411" s="31"/>
      <c r="AJ411" s="31"/>
      <c r="AK411" s="31"/>
      <c r="AL411" s="31"/>
      <c r="AM411" s="31"/>
      <c r="AN411" s="31"/>
      <c r="AO411" s="31"/>
      <c r="AP411" s="31"/>
    </row>
    <row r="412" spans="1:42" ht="15">
      <c r="A412" s="61" t="s">
        <v>609</v>
      </c>
      <c r="B412" s="61" t="s">
        <v>609</v>
      </c>
      <c r="C412" s="62" t="s">
        <v>2891</v>
      </c>
      <c r="D412" s="63">
        <v>5</v>
      </c>
      <c r="E412" s="62"/>
      <c r="F412" s="65">
        <v>25</v>
      </c>
      <c r="G412" s="62"/>
      <c r="H412" s="66"/>
      <c r="I412" s="67"/>
      <c r="J412" s="67"/>
      <c r="K412" s="31" t="s">
        <v>65</v>
      </c>
      <c r="L412" s="68">
        <v>412</v>
      </c>
      <c r="M412" s="68"/>
      <c r="N412" s="69"/>
      <c r="O412" s="84" t="s">
        <v>654</v>
      </c>
      <c r="P412" s="84"/>
      <c r="Q412" s="84"/>
      <c r="R412" s="84"/>
      <c r="S412" s="84"/>
      <c r="T412" s="84"/>
      <c r="U412" s="84"/>
      <c r="V412" s="84" t="s">
        <v>1456</v>
      </c>
      <c r="W412" s="90" t="str">
        <f>HYPERLINK("https://www.youtube.com/watch?v=aK9RxQwdsxc")</f>
        <v>https://www.youtube.com/watch?v=aK9RxQwdsxc</v>
      </c>
      <c r="X412" s="84"/>
      <c r="Y412" s="84"/>
      <c r="Z412" s="93">
        <v>43961.84675925926</v>
      </c>
      <c r="AA412" s="84"/>
      <c r="AB412" s="84"/>
      <c r="AC412" s="84"/>
      <c r="AD412" s="84"/>
      <c r="AE412">
        <v>1</v>
      </c>
      <c r="AF412" s="83" t="str">
        <f>REPLACE(INDEX(GroupVertices[Group],MATCH(Edges[[#This Row],[Vertex 1]],GroupVertices[Vertex],0)),1,1,"")</f>
        <v>22</v>
      </c>
      <c r="AG412" s="83" t="str">
        <f>REPLACE(INDEX(GroupVertices[Group],MATCH(Edges[[#This Row],[Vertex 2]],GroupVertices[Vertex],0)),1,1,"")</f>
        <v>22</v>
      </c>
      <c r="AH412" s="31"/>
      <c r="AI412" s="31"/>
      <c r="AJ412" s="31"/>
      <c r="AK412" s="31"/>
      <c r="AL412" s="31"/>
      <c r="AM412" s="31"/>
      <c r="AN412" s="31"/>
      <c r="AO412" s="31"/>
      <c r="AP412" s="31"/>
    </row>
    <row r="413" spans="1:42" ht="15">
      <c r="A413" s="61" t="s">
        <v>610</v>
      </c>
      <c r="B413" s="61" t="s">
        <v>610</v>
      </c>
      <c r="C413" s="62" t="s">
        <v>2891</v>
      </c>
      <c r="D413" s="63">
        <v>5</v>
      </c>
      <c r="E413" s="62"/>
      <c r="F413" s="65">
        <v>25</v>
      </c>
      <c r="G413" s="62"/>
      <c r="H413" s="66"/>
      <c r="I413" s="67"/>
      <c r="J413" s="67"/>
      <c r="K413" s="31" t="s">
        <v>65</v>
      </c>
      <c r="L413" s="68">
        <v>413</v>
      </c>
      <c r="M413" s="68"/>
      <c r="N413" s="69"/>
      <c r="O413" s="84" t="s">
        <v>654</v>
      </c>
      <c r="P413" s="84"/>
      <c r="Q413" s="84"/>
      <c r="R413" s="84"/>
      <c r="S413" s="84"/>
      <c r="T413" s="84"/>
      <c r="U413" s="84"/>
      <c r="V413" s="84" t="s">
        <v>1492</v>
      </c>
      <c r="W413" s="90" t="str">
        <f>HYPERLINK("https://www.youtube.com/watch?v=miPwnLF8GYA")</f>
        <v>https://www.youtube.com/watch?v=miPwnLF8GYA</v>
      </c>
      <c r="X413" s="84"/>
      <c r="Y413" s="84"/>
      <c r="Z413" s="84" t="s">
        <v>1789</v>
      </c>
      <c r="AA413" s="84"/>
      <c r="AB413" s="84"/>
      <c r="AC413" s="84"/>
      <c r="AD413" s="84"/>
      <c r="AE413">
        <v>1</v>
      </c>
      <c r="AF413" s="83" t="str">
        <f>REPLACE(INDEX(GroupVertices[Group],MATCH(Edges[[#This Row],[Vertex 1]],GroupVertices[Vertex],0)),1,1,"")</f>
        <v>6</v>
      </c>
      <c r="AG413" s="83" t="str">
        <f>REPLACE(INDEX(GroupVertices[Group],MATCH(Edges[[#This Row],[Vertex 2]],GroupVertices[Vertex],0)),1,1,"")</f>
        <v>6</v>
      </c>
      <c r="AH413" s="31"/>
      <c r="AI413" s="31"/>
      <c r="AJ413" s="31"/>
      <c r="AK413" s="31"/>
      <c r="AL413" s="31"/>
      <c r="AM413" s="31"/>
      <c r="AN413" s="31"/>
      <c r="AO413" s="31"/>
      <c r="AP413" s="31"/>
    </row>
    <row r="414" spans="1:42" ht="15">
      <c r="A414" s="61" t="s">
        <v>611</v>
      </c>
      <c r="B414" s="61" t="s">
        <v>611</v>
      </c>
      <c r="C414" s="62" t="s">
        <v>2891</v>
      </c>
      <c r="D414" s="63">
        <v>5</v>
      </c>
      <c r="E414" s="62"/>
      <c r="F414" s="65">
        <v>25</v>
      </c>
      <c r="G414" s="62"/>
      <c r="H414" s="66"/>
      <c r="I414" s="67"/>
      <c r="J414" s="67"/>
      <c r="K414" s="31" t="s">
        <v>65</v>
      </c>
      <c r="L414" s="68">
        <v>414</v>
      </c>
      <c r="M414" s="68"/>
      <c r="N414" s="69"/>
      <c r="O414" s="84" t="s">
        <v>654</v>
      </c>
      <c r="P414" s="84"/>
      <c r="Q414" s="84"/>
      <c r="R414" s="84"/>
      <c r="S414" s="84"/>
      <c r="T414" s="84"/>
      <c r="U414" s="84"/>
      <c r="V414" s="84" t="s">
        <v>1493</v>
      </c>
      <c r="W414" s="90" t="str">
        <f>HYPERLINK("https://www.youtube.com/watch?v=g6IXnnX9pv0")</f>
        <v>https://www.youtube.com/watch?v=g6IXnnX9pv0</v>
      </c>
      <c r="X414" s="84"/>
      <c r="Y414" s="84"/>
      <c r="Z414" s="93">
        <v>43564.09730324074</v>
      </c>
      <c r="AA414" s="84"/>
      <c r="AB414" s="84"/>
      <c r="AC414" s="84"/>
      <c r="AD414" s="84"/>
      <c r="AE414">
        <v>1</v>
      </c>
      <c r="AF414" s="83" t="str">
        <f>REPLACE(INDEX(GroupVertices[Group],MATCH(Edges[[#This Row],[Vertex 1]],GroupVertices[Vertex],0)),1,1,"")</f>
        <v>6</v>
      </c>
      <c r="AG414" s="83" t="str">
        <f>REPLACE(INDEX(GroupVertices[Group],MATCH(Edges[[#This Row],[Vertex 2]],GroupVertices[Vertex],0)),1,1,"")</f>
        <v>6</v>
      </c>
      <c r="AH414" s="31"/>
      <c r="AI414" s="31"/>
      <c r="AJ414" s="31"/>
      <c r="AK414" s="31"/>
      <c r="AL414" s="31"/>
      <c r="AM414" s="31"/>
      <c r="AN414" s="31"/>
      <c r="AO414" s="31"/>
      <c r="AP414" s="31"/>
    </row>
    <row r="415" spans="1:42" ht="15">
      <c r="A415" s="61" t="s">
        <v>612</v>
      </c>
      <c r="B415" s="61" t="s">
        <v>612</v>
      </c>
      <c r="C415" s="62" t="s">
        <v>2892</v>
      </c>
      <c r="D415" s="63">
        <v>5.833333333333333</v>
      </c>
      <c r="E415" s="62"/>
      <c r="F415" s="65">
        <v>15</v>
      </c>
      <c r="G415" s="62"/>
      <c r="H415" s="66"/>
      <c r="I415" s="67"/>
      <c r="J415" s="67"/>
      <c r="K415" s="31" t="s">
        <v>65</v>
      </c>
      <c r="L415" s="68">
        <v>415</v>
      </c>
      <c r="M415" s="68"/>
      <c r="N415" s="69"/>
      <c r="O415" s="84" t="s">
        <v>654</v>
      </c>
      <c r="P415" s="84"/>
      <c r="Q415" s="84"/>
      <c r="R415" s="84"/>
      <c r="S415" s="84"/>
      <c r="T415" s="84"/>
      <c r="U415" s="84"/>
      <c r="V415" s="84" t="s">
        <v>1494</v>
      </c>
      <c r="W415" s="90" t="str">
        <f>HYPERLINK("https://www.youtube.com/watch?v=NbZ5kyGmYBo")</f>
        <v>https://www.youtube.com/watch?v=NbZ5kyGmYBo</v>
      </c>
      <c r="X415" s="84"/>
      <c r="Y415" s="84"/>
      <c r="Z415" s="93">
        <v>43048.687743055554</v>
      </c>
      <c r="AA415" s="84"/>
      <c r="AB415" s="84"/>
      <c r="AC415" s="84"/>
      <c r="AD415" s="84"/>
      <c r="AE415">
        <v>2</v>
      </c>
      <c r="AF415" s="83" t="str">
        <f>REPLACE(INDEX(GroupVertices[Group],MATCH(Edges[[#This Row],[Vertex 1]],GroupVertices[Vertex],0)),1,1,"")</f>
        <v>6</v>
      </c>
      <c r="AG415" s="83" t="str">
        <f>REPLACE(INDEX(GroupVertices[Group],MATCH(Edges[[#This Row],[Vertex 2]],GroupVertices[Vertex],0)),1,1,"")</f>
        <v>6</v>
      </c>
      <c r="AH415" s="31"/>
      <c r="AI415" s="31"/>
      <c r="AJ415" s="31"/>
      <c r="AK415" s="31"/>
      <c r="AL415" s="31"/>
      <c r="AM415" s="31"/>
      <c r="AN415" s="31"/>
      <c r="AO415" s="31"/>
      <c r="AP415" s="31"/>
    </row>
    <row r="416" spans="1:42" ht="15">
      <c r="A416" s="61" t="s">
        <v>612</v>
      </c>
      <c r="B416" s="61" t="s">
        <v>612</v>
      </c>
      <c r="C416" s="62" t="s">
        <v>2892</v>
      </c>
      <c r="D416" s="63">
        <v>5.833333333333333</v>
      </c>
      <c r="E416" s="62"/>
      <c r="F416" s="65">
        <v>15</v>
      </c>
      <c r="G416" s="62"/>
      <c r="H416" s="66"/>
      <c r="I416" s="67"/>
      <c r="J416" s="67"/>
      <c r="K416" s="31" t="s">
        <v>65</v>
      </c>
      <c r="L416" s="68">
        <v>416</v>
      </c>
      <c r="M416" s="68"/>
      <c r="N416" s="69"/>
      <c r="O416" s="84" t="s">
        <v>654</v>
      </c>
      <c r="P416" s="84"/>
      <c r="Q416" s="84"/>
      <c r="R416" s="84"/>
      <c r="S416" s="84"/>
      <c r="T416" s="84"/>
      <c r="U416" s="84"/>
      <c r="V416" s="84" t="s">
        <v>1495</v>
      </c>
      <c r="W416" s="90" t="str">
        <f>HYPERLINK("https://www.youtube.com/watch?v=PLudg9xzfII")</f>
        <v>https://www.youtube.com/watch?v=PLudg9xzfII</v>
      </c>
      <c r="X416" s="84"/>
      <c r="Y416" s="84"/>
      <c r="Z416" s="84" t="s">
        <v>1790</v>
      </c>
      <c r="AA416" s="84"/>
      <c r="AB416" s="84"/>
      <c r="AC416" s="84"/>
      <c r="AD416" s="84"/>
      <c r="AE416">
        <v>2</v>
      </c>
      <c r="AF416" s="83" t="str">
        <f>REPLACE(INDEX(GroupVertices[Group],MATCH(Edges[[#This Row],[Vertex 1]],GroupVertices[Vertex],0)),1,1,"")</f>
        <v>6</v>
      </c>
      <c r="AG416" s="83" t="str">
        <f>REPLACE(INDEX(GroupVertices[Group],MATCH(Edges[[#This Row],[Vertex 2]],GroupVertices[Vertex],0)),1,1,"")</f>
        <v>6</v>
      </c>
      <c r="AH416" s="31"/>
      <c r="AI416" s="31"/>
      <c r="AJ416" s="31"/>
      <c r="AK416" s="31"/>
      <c r="AL416" s="31"/>
      <c r="AM416" s="31"/>
      <c r="AN416" s="31"/>
      <c r="AO416" s="31"/>
      <c r="AP416" s="31"/>
    </row>
    <row r="417" spans="1:42" ht="15">
      <c r="A417" s="61" t="s">
        <v>613</v>
      </c>
      <c r="B417" s="61" t="s">
        <v>613</v>
      </c>
      <c r="C417" s="62" t="s">
        <v>2891</v>
      </c>
      <c r="D417" s="63">
        <v>5</v>
      </c>
      <c r="E417" s="62"/>
      <c r="F417" s="65">
        <v>25</v>
      </c>
      <c r="G417" s="62"/>
      <c r="H417" s="66"/>
      <c r="I417" s="67"/>
      <c r="J417" s="67"/>
      <c r="K417" s="31" t="s">
        <v>65</v>
      </c>
      <c r="L417" s="68">
        <v>417</v>
      </c>
      <c r="M417" s="68"/>
      <c r="N417" s="69"/>
      <c r="O417" s="84" t="s">
        <v>654</v>
      </c>
      <c r="P417" s="84"/>
      <c r="Q417" s="84"/>
      <c r="R417" s="84"/>
      <c r="S417" s="84"/>
      <c r="T417" s="84"/>
      <c r="U417" s="84"/>
      <c r="V417" s="84" t="s">
        <v>1496</v>
      </c>
      <c r="W417" s="90" t="str">
        <f>HYPERLINK("https://www.youtube.com/watch?v=YSxvjK3jwXI")</f>
        <v>https://www.youtube.com/watch?v=YSxvjK3jwXI</v>
      </c>
      <c r="X417" s="84"/>
      <c r="Y417" s="84"/>
      <c r="Z417" s="84" t="s">
        <v>1791</v>
      </c>
      <c r="AA417" s="84"/>
      <c r="AB417" s="84"/>
      <c r="AC417" s="84"/>
      <c r="AD417" s="84"/>
      <c r="AE417">
        <v>1</v>
      </c>
      <c r="AF417" s="83" t="str">
        <f>REPLACE(INDEX(GroupVertices[Group],MATCH(Edges[[#This Row],[Vertex 1]],GroupVertices[Vertex],0)),1,1,"")</f>
        <v>6</v>
      </c>
      <c r="AG417" s="83" t="str">
        <f>REPLACE(INDEX(GroupVertices[Group],MATCH(Edges[[#This Row],[Vertex 2]],GroupVertices[Vertex],0)),1,1,"")</f>
        <v>6</v>
      </c>
      <c r="AH417" s="31"/>
      <c r="AI417" s="31"/>
      <c r="AJ417" s="31"/>
      <c r="AK417" s="31"/>
      <c r="AL417" s="31"/>
      <c r="AM417" s="31"/>
      <c r="AN417" s="31"/>
      <c r="AO417" s="31"/>
      <c r="AP417" s="31"/>
    </row>
    <row r="418" spans="1:42" ht="15">
      <c r="A418" s="61" t="s">
        <v>614</v>
      </c>
      <c r="B418" s="61" t="s">
        <v>614</v>
      </c>
      <c r="C418" s="62" t="s">
        <v>2891</v>
      </c>
      <c r="D418" s="63">
        <v>5</v>
      </c>
      <c r="E418" s="62"/>
      <c r="F418" s="65">
        <v>25</v>
      </c>
      <c r="G418" s="62"/>
      <c r="H418" s="66"/>
      <c r="I418" s="67"/>
      <c r="J418" s="67"/>
      <c r="K418" s="31" t="s">
        <v>65</v>
      </c>
      <c r="L418" s="68">
        <v>418</v>
      </c>
      <c r="M418" s="68"/>
      <c r="N418" s="69"/>
      <c r="O418" s="84" t="s">
        <v>653</v>
      </c>
      <c r="P418" s="84" t="s">
        <v>215</v>
      </c>
      <c r="Q418" s="88" t="s">
        <v>1057</v>
      </c>
      <c r="R418" s="84" t="s">
        <v>614</v>
      </c>
      <c r="S418" s="84" t="s">
        <v>1445</v>
      </c>
      <c r="T418" s="90" t="str">
        <f>HYPERLINK("http://www.youtube.com/channel/UCNye-wNBqNL5ZzHSJj3l8Bg")</f>
        <v>http://www.youtube.com/channel/UCNye-wNBqNL5ZzHSJj3l8Bg</v>
      </c>
      <c r="U418" s="84"/>
      <c r="V418" s="84" t="s">
        <v>1459</v>
      </c>
      <c r="W418" s="90" t="str">
        <f>HYPERLINK("https://www.youtube.com/watch?v=g-uBNYawlxU")</f>
        <v>https://www.youtube.com/watch?v=g-uBNYawlxU</v>
      </c>
      <c r="X418" s="84" t="s">
        <v>1537</v>
      </c>
      <c r="Y418" s="84">
        <v>10</v>
      </c>
      <c r="Z418" s="84" t="s">
        <v>1792</v>
      </c>
      <c r="AA418" s="84" t="s">
        <v>1792</v>
      </c>
      <c r="AB418" s="84"/>
      <c r="AC418" s="84"/>
      <c r="AD418" s="88" t="s">
        <v>1874</v>
      </c>
      <c r="AE418" s="86">
        <v>1</v>
      </c>
      <c r="AF418" s="87" t="str">
        <f>REPLACE(INDEX(GroupVertices[Group],MATCH(Edges[[#This Row],[Vertex 1]],GroupVertices[Vertex],0)),1,1,"")</f>
        <v>4</v>
      </c>
      <c r="AG418" s="87" t="str">
        <f>REPLACE(INDEX(GroupVertices[Group],MATCH(Edges[[#This Row],[Vertex 2]],GroupVertices[Vertex],0)),1,1,"")</f>
        <v>4</v>
      </c>
      <c r="AH418" s="105"/>
      <c r="AI418" s="105"/>
      <c r="AJ418" s="105"/>
      <c r="AK418" s="105"/>
      <c r="AL418" s="105"/>
      <c r="AM418" s="105"/>
      <c r="AN418" s="105"/>
      <c r="AO418" s="105"/>
      <c r="AP418" s="105"/>
    </row>
    <row r="419" spans="1:42" ht="15">
      <c r="A419" s="61" t="s">
        <v>614</v>
      </c>
      <c r="B419" s="61" t="s">
        <v>614</v>
      </c>
      <c r="C419" s="62" t="s">
        <v>2891</v>
      </c>
      <c r="D419" s="63">
        <v>5</v>
      </c>
      <c r="E419" s="62"/>
      <c r="F419" s="65">
        <v>25</v>
      </c>
      <c r="G419" s="62"/>
      <c r="H419" s="66"/>
      <c r="I419" s="67"/>
      <c r="J419" s="67"/>
      <c r="K419" s="31" t="s">
        <v>65</v>
      </c>
      <c r="L419" s="68">
        <v>419</v>
      </c>
      <c r="M419" s="68"/>
      <c r="N419" s="69"/>
      <c r="O419" s="84" t="s">
        <v>654</v>
      </c>
      <c r="P419" s="84"/>
      <c r="Q419" s="84"/>
      <c r="R419" s="84"/>
      <c r="S419" s="84"/>
      <c r="T419" s="84"/>
      <c r="U419" s="84"/>
      <c r="V419" s="84" t="s">
        <v>1459</v>
      </c>
      <c r="W419" s="90" t="str">
        <f>HYPERLINK("https://www.youtube.com/watch?v=g-uBNYawlxU")</f>
        <v>https://www.youtube.com/watch?v=g-uBNYawlxU</v>
      </c>
      <c r="X419" s="84"/>
      <c r="Y419" s="84"/>
      <c r="Z419" s="84" t="s">
        <v>1793</v>
      </c>
      <c r="AA419" s="84"/>
      <c r="AB419" s="84"/>
      <c r="AC419" s="84"/>
      <c r="AD419" s="84"/>
      <c r="AE419">
        <v>1</v>
      </c>
      <c r="AF419" s="83" t="str">
        <f>REPLACE(INDEX(GroupVertices[Group],MATCH(Edges[[#This Row],[Vertex 1]],GroupVertices[Vertex],0)),1,1,"")</f>
        <v>4</v>
      </c>
      <c r="AG419" s="83" t="str">
        <f>REPLACE(INDEX(GroupVertices[Group],MATCH(Edges[[#This Row],[Vertex 2]],GroupVertices[Vertex],0)),1,1,"")</f>
        <v>4</v>
      </c>
      <c r="AH419" s="31"/>
      <c r="AI419" s="31"/>
      <c r="AJ419" s="31"/>
      <c r="AK419" s="31"/>
      <c r="AL419" s="31"/>
      <c r="AM419" s="31"/>
      <c r="AN419" s="31"/>
      <c r="AO419" s="31"/>
      <c r="AP419" s="31"/>
    </row>
    <row r="420" spans="1:42" ht="15">
      <c r="A420" s="61" t="s">
        <v>615</v>
      </c>
      <c r="B420" s="61" t="s">
        <v>615</v>
      </c>
      <c r="C420" s="62" t="s">
        <v>2891</v>
      </c>
      <c r="D420" s="63">
        <v>5</v>
      </c>
      <c r="E420" s="62"/>
      <c r="F420" s="65">
        <v>25</v>
      </c>
      <c r="G420" s="62"/>
      <c r="H420" s="66"/>
      <c r="I420" s="67"/>
      <c r="J420" s="67"/>
      <c r="K420" s="31" t="s">
        <v>65</v>
      </c>
      <c r="L420" s="68">
        <v>420</v>
      </c>
      <c r="M420" s="68"/>
      <c r="N420" s="69"/>
      <c r="O420" s="84" t="s">
        <v>654</v>
      </c>
      <c r="P420" s="84"/>
      <c r="Q420" s="84"/>
      <c r="R420" s="84"/>
      <c r="S420" s="84"/>
      <c r="T420" s="84"/>
      <c r="U420" s="84"/>
      <c r="V420" s="84" t="s">
        <v>1497</v>
      </c>
      <c r="W420" s="90" t="str">
        <f>HYPERLINK("https://www.youtube.com/watch?v=18iFOth6GNM")</f>
        <v>https://www.youtube.com/watch?v=18iFOth6GNM</v>
      </c>
      <c r="X420" s="84"/>
      <c r="Y420" s="84"/>
      <c r="Z420" s="93">
        <v>44990.70995370371</v>
      </c>
      <c r="AA420" s="84"/>
      <c r="AB420" s="84"/>
      <c r="AC420" s="84"/>
      <c r="AD420" s="84"/>
      <c r="AE420">
        <v>1</v>
      </c>
      <c r="AF420" s="83" t="str">
        <f>REPLACE(INDEX(GroupVertices[Group],MATCH(Edges[[#This Row],[Vertex 1]],GroupVertices[Vertex],0)),1,1,"")</f>
        <v>6</v>
      </c>
      <c r="AG420" s="83" t="str">
        <f>REPLACE(INDEX(GroupVertices[Group],MATCH(Edges[[#This Row],[Vertex 2]],GroupVertices[Vertex],0)),1,1,"")</f>
        <v>6</v>
      </c>
      <c r="AH420" s="31"/>
      <c r="AI420" s="31"/>
      <c r="AJ420" s="31"/>
      <c r="AK420" s="31"/>
      <c r="AL420" s="31"/>
      <c r="AM420" s="31"/>
      <c r="AN420" s="31"/>
      <c r="AO420" s="31"/>
      <c r="AP420" s="31"/>
    </row>
    <row r="421" spans="1:42" ht="15">
      <c r="A421" s="61" t="s">
        <v>616</v>
      </c>
      <c r="B421" s="61" t="s">
        <v>616</v>
      </c>
      <c r="C421" s="62" t="s">
        <v>2891</v>
      </c>
      <c r="D421" s="63">
        <v>5</v>
      </c>
      <c r="E421" s="62"/>
      <c r="F421" s="65">
        <v>25</v>
      </c>
      <c r="G421" s="62"/>
      <c r="H421" s="66"/>
      <c r="I421" s="67"/>
      <c r="J421" s="67"/>
      <c r="K421" s="31" t="s">
        <v>65</v>
      </c>
      <c r="L421" s="68">
        <v>421</v>
      </c>
      <c r="M421" s="68"/>
      <c r="N421" s="69"/>
      <c r="O421" s="84" t="s">
        <v>654</v>
      </c>
      <c r="P421" s="84"/>
      <c r="Q421" s="84"/>
      <c r="R421" s="84"/>
      <c r="S421" s="84"/>
      <c r="T421" s="84"/>
      <c r="U421" s="84"/>
      <c r="V421" s="84" t="s">
        <v>1498</v>
      </c>
      <c r="W421" s="90" t="str">
        <f>HYPERLINK("https://www.youtube.com/watch?v=0QY2cdNvI5c")</f>
        <v>https://www.youtube.com/watch?v=0QY2cdNvI5c</v>
      </c>
      <c r="X421" s="84"/>
      <c r="Y421" s="84"/>
      <c r="Z421" s="84" t="s">
        <v>1794</v>
      </c>
      <c r="AA421" s="84"/>
      <c r="AB421" s="84"/>
      <c r="AC421" s="84"/>
      <c r="AD421" s="84"/>
      <c r="AE421">
        <v>1</v>
      </c>
      <c r="AF421" s="83" t="str">
        <f>REPLACE(INDEX(GroupVertices[Group],MATCH(Edges[[#This Row],[Vertex 1]],GroupVertices[Vertex],0)),1,1,"")</f>
        <v>6</v>
      </c>
      <c r="AG421" s="83" t="str">
        <f>REPLACE(INDEX(GroupVertices[Group],MATCH(Edges[[#This Row],[Vertex 2]],GroupVertices[Vertex],0)),1,1,"")</f>
        <v>6</v>
      </c>
      <c r="AH421" s="31"/>
      <c r="AI421" s="31"/>
      <c r="AJ421" s="31"/>
      <c r="AK421" s="31"/>
      <c r="AL421" s="31"/>
      <c r="AM421" s="31"/>
      <c r="AN421" s="31"/>
      <c r="AO421" s="31"/>
      <c r="AP421" s="31"/>
    </row>
    <row r="422" spans="1:42" ht="15">
      <c r="A422" s="61" t="s">
        <v>617</v>
      </c>
      <c r="B422" s="61" t="s">
        <v>617</v>
      </c>
      <c r="C422" s="62" t="s">
        <v>2891</v>
      </c>
      <c r="D422" s="63">
        <v>5</v>
      </c>
      <c r="E422" s="62"/>
      <c r="F422" s="65">
        <v>25</v>
      </c>
      <c r="G422" s="62"/>
      <c r="H422" s="66"/>
      <c r="I422" s="67"/>
      <c r="J422" s="67"/>
      <c r="K422" s="31" t="s">
        <v>65</v>
      </c>
      <c r="L422" s="68">
        <v>422</v>
      </c>
      <c r="M422" s="68"/>
      <c r="N422" s="69"/>
      <c r="O422" s="84" t="s">
        <v>654</v>
      </c>
      <c r="P422" s="84"/>
      <c r="Q422" s="84"/>
      <c r="R422" s="84"/>
      <c r="S422" s="84"/>
      <c r="T422" s="84"/>
      <c r="U422" s="84"/>
      <c r="V422" s="84" t="s">
        <v>1499</v>
      </c>
      <c r="W422" s="90" t="str">
        <f>HYPERLINK("https://www.youtube.com/watch?v=T-SD_mh9dM4")</f>
        <v>https://www.youtube.com/watch?v=T-SD_mh9dM4</v>
      </c>
      <c r="X422" s="84"/>
      <c r="Y422" s="84"/>
      <c r="Z422" s="84" t="s">
        <v>1795</v>
      </c>
      <c r="AA422" s="84"/>
      <c r="AB422" s="84"/>
      <c r="AC422" s="84"/>
      <c r="AD422" s="84"/>
      <c r="AE422">
        <v>1</v>
      </c>
      <c r="AF422" s="83" t="str">
        <f>REPLACE(INDEX(GroupVertices[Group],MATCH(Edges[[#This Row],[Vertex 1]],GroupVertices[Vertex],0)),1,1,"")</f>
        <v>6</v>
      </c>
      <c r="AG422" s="83" t="str">
        <f>REPLACE(INDEX(GroupVertices[Group],MATCH(Edges[[#This Row],[Vertex 2]],GroupVertices[Vertex],0)),1,1,"")</f>
        <v>6</v>
      </c>
      <c r="AH422" s="31"/>
      <c r="AI422" s="31"/>
      <c r="AJ422" s="31"/>
      <c r="AK422" s="31"/>
      <c r="AL422" s="31"/>
      <c r="AM422" s="31"/>
      <c r="AN422" s="31"/>
      <c r="AO422" s="31"/>
      <c r="AP422" s="31"/>
    </row>
    <row r="423" spans="1:42" ht="15">
      <c r="A423" s="61" t="s">
        <v>618</v>
      </c>
      <c r="B423" s="61" t="s">
        <v>618</v>
      </c>
      <c r="C423" s="62" t="s">
        <v>2891</v>
      </c>
      <c r="D423" s="63">
        <v>5</v>
      </c>
      <c r="E423" s="62"/>
      <c r="F423" s="65">
        <v>25</v>
      </c>
      <c r="G423" s="62"/>
      <c r="H423" s="66"/>
      <c r="I423" s="67"/>
      <c r="J423" s="67"/>
      <c r="K423" s="31" t="s">
        <v>65</v>
      </c>
      <c r="L423" s="68">
        <v>423</v>
      </c>
      <c r="M423" s="68"/>
      <c r="N423" s="69"/>
      <c r="O423" s="84" t="s">
        <v>654</v>
      </c>
      <c r="P423" s="84"/>
      <c r="Q423" s="84"/>
      <c r="R423" s="84"/>
      <c r="S423" s="84"/>
      <c r="T423" s="84"/>
      <c r="U423" s="84"/>
      <c r="V423" s="84" t="s">
        <v>1500</v>
      </c>
      <c r="W423" s="90" t="str">
        <f>HYPERLINK("https://www.youtube.com/watch?v=rlx8MSmDiEw")</f>
        <v>https://www.youtube.com/watch?v=rlx8MSmDiEw</v>
      </c>
      <c r="X423" s="84"/>
      <c r="Y423" s="84"/>
      <c r="Z423" s="93">
        <v>44168.29344907407</v>
      </c>
      <c r="AA423" s="84"/>
      <c r="AB423" s="84"/>
      <c r="AC423" s="84"/>
      <c r="AD423" s="84"/>
      <c r="AE423">
        <v>1</v>
      </c>
      <c r="AF423" s="83" t="str">
        <f>REPLACE(INDEX(GroupVertices[Group],MATCH(Edges[[#This Row],[Vertex 1]],GroupVertices[Vertex],0)),1,1,"")</f>
        <v>6</v>
      </c>
      <c r="AG423" s="83" t="str">
        <f>REPLACE(INDEX(GroupVertices[Group],MATCH(Edges[[#This Row],[Vertex 2]],GroupVertices[Vertex],0)),1,1,"")</f>
        <v>6</v>
      </c>
      <c r="AH423" s="31"/>
      <c r="AI423" s="31"/>
      <c r="AJ423" s="31"/>
      <c r="AK423" s="31"/>
      <c r="AL423" s="31"/>
      <c r="AM423" s="31"/>
      <c r="AN423" s="31"/>
      <c r="AO423" s="31"/>
      <c r="AP423" s="31"/>
    </row>
    <row r="424" spans="1:42" ht="15">
      <c r="A424" s="61" t="s">
        <v>619</v>
      </c>
      <c r="B424" s="61" t="s">
        <v>619</v>
      </c>
      <c r="C424" s="62" t="s">
        <v>2891</v>
      </c>
      <c r="D424" s="63">
        <v>5</v>
      </c>
      <c r="E424" s="62"/>
      <c r="F424" s="65">
        <v>25</v>
      </c>
      <c r="G424" s="62"/>
      <c r="H424" s="66"/>
      <c r="I424" s="67"/>
      <c r="J424" s="67"/>
      <c r="K424" s="31" t="s">
        <v>65</v>
      </c>
      <c r="L424" s="68">
        <v>424</v>
      </c>
      <c r="M424" s="68"/>
      <c r="N424" s="69"/>
      <c r="O424" s="84" t="s">
        <v>654</v>
      </c>
      <c r="P424" s="84"/>
      <c r="Q424" s="84"/>
      <c r="R424" s="84"/>
      <c r="S424" s="84"/>
      <c r="T424" s="84"/>
      <c r="U424" s="84"/>
      <c r="V424" s="84" t="s">
        <v>1460</v>
      </c>
      <c r="W424" s="90" t="str">
        <f>HYPERLINK("https://www.youtube.com/watch?v=5XN-nzpol-A")</f>
        <v>https://www.youtube.com/watch?v=5XN-nzpol-A</v>
      </c>
      <c r="X424" s="84"/>
      <c r="Y424" s="84"/>
      <c r="Z424" s="93">
        <v>44815.95261574074</v>
      </c>
      <c r="AA424" s="84"/>
      <c r="AB424" s="84"/>
      <c r="AC424" s="84"/>
      <c r="AD424" s="84"/>
      <c r="AE424">
        <v>1</v>
      </c>
      <c r="AF424" s="83" t="str">
        <f>REPLACE(INDEX(GroupVertices[Group],MATCH(Edges[[#This Row],[Vertex 1]],GroupVertices[Vertex],0)),1,1,"")</f>
        <v>19</v>
      </c>
      <c r="AG424" s="83" t="str">
        <f>REPLACE(INDEX(GroupVertices[Group],MATCH(Edges[[#This Row],[Vertex 2]],GroupVertices[Vertex],0)),1,1,"")</f>
        <v>19</v>
      </c>
      <c r="AH424" s="31"/>
      <c r="AI424" s="31"/>
      <c r="AJ424" s="31"/>
      <c r="AK424" s="31"/>
      <c r="AL424" s="31"/>
      <c r="AM424" s="31"/>
      <c r="AN424" s="31"/>
      <c r="AO424" s="31"/>
      <c r="AP424" s="31"/>
    </row>
    <row r="425" spans="1:42" ht="15">
      <c r="A425" s="61" t="s">
        <v>620</v>
      </c>
      <c r="B425" s="61" t="s">
        <v>620</v>
      </c>
      <c r="C425" s="62" t="s">
        <v>2891</v>
      </c>
      <c r="D425" s="63">
        <v>5</v>
      </c>
      <c r="E425" s="62"/>
      <c r="F425" s="65">
        <v>25</v>
      </c>
      <c r="G425" s="62"/>
      <c r="H425" s="66"/>
      <c r="I425" s="67"/>
      <c r="J425" s="67"/>
      <c r="K425" s="31" t="s">
        <v>65</v>
      </c>
      <c r="L425" s="68">
        <v>425</v>
      </c>
      <c r="M425" s="68"/>
      <c r="N425" s="69"/>
      <c r="O425" s="84" t="s">
        <v>654</v>
      </c>
      <c r="P425" s="84"/>
      <c r="Q425" s="84"/>
      <c r="R425" s="84"/>
      <c r="S425" s="84"/>
      <c r="T425" s="84"/>
      <c r="U425" s="84"/>
      <c r="V425" s="84" t="s">
        <v>1501</v>
      </c>
      <c r="W425" s="90" t="str">
        <f>HYPERLINK("https://www.youtube.com/watch?v=CogmDk_2b9A")</f>
        <v>https://www.youtube.com/watch?v=CogmDk_2b9A</v>
      </c>
      <c r="X425" s="84"/>
      <c r="Y425" s="84"/>
      <c r="Z425" s="93">
        <v>43720.90782407407</v>
      </c>
      <c r="AA425" s="84"/>
      <c r="AB425" s="84"/>
      <c r="AC425" s="84"/>
      <c r="AD425" s="84"/>
      <c r="AE425">
        <v>1</v>
      </c>
      <c r="AF425" s="83" t="str">
        <f>REPLACE(INDEX(GroupVertices[Group],MATCH(Edges[[#This Row],[Vertex 1]],GroupVertices[Vertex],0)),1,1,"")</f>
        <v>6</v>
      </c>
      <c r="AG425" s="83" t="str">
        <f>REPLACE(INDEX(GroupVertices[Group],MATCH(Edges[[#This Row],[Vertex 2]],GroupVertices[Vertex],0)),1,1,"")</f>
        <v>6</v>
      </c>
      <c r="AH425" s="31"/>
      <c r="AI425" s="31"/>
      <c r="AJ425" s="31"/>
      <c r="AK425" s="31"/>
      <c r="AL425" s="31"/>
      <c r="AM425" s="31"/>
      <c r="AN425" s="31"/>
      <c r="AO425" s="31"/>
      <c r="AP425" s="31"/>
    </row>
    <row r="426" spans="1:42" ht="15">
      <c r="A426" s="61" t="s">
        <v>621</v>
      </c>
      <c r="B426" s="61" t="s">
        <v>621</v>
      </c>
      <c r="C426" s="62" t="s">
        <v>2892</v>
      </c>
      <c r="D426" s="63">
        <v>6.666666666666667</v>
      </c>
      <c r="E426" s="62"/>
      <c r="F426" s="65">
        <v>15</v>
      </c>
      <c r="G426" s="62"/>
      <c r="H426" s="66"/>
      <c r="I426" s="67"/>
      <c r="J426" s="67"/>
      <c r="K426" s="31" t="s">
        <v>65</v>
      </c>
      <c r="L426" s="68">
        <v>426</v>
      </c>
      <c r="M426" s="68"/>
      <c r="N426" s="69"/>
      <c r="O426" s="84" t="s">
        <v>654</v>
      </c>
      <c r="P426" s="84"/>
      <c r="Q426" s="84"/>
      <c r="R426" s="84"/>
      <c r="S426" s="84"/>
      <c r="T426" s="84"/>
      <c r="U426" s="84"/>
      <c r="V426" s="84" t="s">
        <v>1502</v>
      </c>
      <c r="W426" s="90" t="str">
        <f>HYPERLINK("https://www.youtube.com/watch?v=3SGW1mdbtc8")</f>
        <v>https://www.youtube.com/watch?v=3SGW1mdbtc8</v>
      </c>
      <c r="X426" s="84"/>
      <c r="Y426" s="84"/>
      <c r="Z426" s="93">
        <v>43473.60903935185</v>
      </c>
      <c r="AA426" s="84"/>
      <c r="AB426" s="84"/>
      <c r="AC426" s="84"/>
      <c r="AD426" s="84"/>
      <c r="AE426">
        <v>3</v>
      </c>
      <c r="AF426" s="83" t="str">
        <f>REPLACE(INDEX(GroupVertices[Group],MATCH(Edges[[#This Row],[Vertex 1]],GroupVertices[Vertex],0)),1,1,"")</f>
        <v>6</v>
      </c>
      <c r="AG426" s="83" t="str">
        <f>REPLACE(INDEX(GroupVertices[Group],MATCH(Edges[[#This Row],[Vertex 2]],GroupVertices[Vertex],0)),1,1,"")</f>
        <v>6</v>
      </c>
      <c r="AH426" s="31"/>
      <c r="AI426" s="31"/>
      <c r="AJ426" s="31"/>
      <c r="AK426" s="31"/>
      <c r="AL426" s="31"/>
      <c r="AM426" s="31"/>
      <c r="AN426" s="31"/>
      <c r="AO426" s="31"/>
      <c r="AP426" s="31"/>
    </row>
    <row r="427" spans="1:42" ht="15">
      <c r="A427" s="61" t="s">
        <v>621</v>
      </c>
      <c r="B427" s="61" t="s">
        <v>621</v>
      </c>
      <c r="C427" s="62" t="s">
        <v>2892</v>
      </c>
      <c r="D427" s="63">
        <v>6.666666666666667</v>
      </c>
      <c r="E427" s="62"/>
      <c r="F427" s="65">
        <v>15</v>
      </c>
      <c r="G427" s="62"/>
      <c r="H427" s="66"/>
      <c r="I427" s="67"/>
      <c r="J427" s="67"/>
      <c r="K427" s="31" t="s">
        <v>65</v>
      </c>
      <c r="L427" s="68">
        <v>427</v>
      </c>
      <c r="M427" s="68"/>
      <c r="N427" s="69"/>
      <c r="O427" s="84" t="s">
        <v>654</v>
      </c>
      <c r="P427" s="84"/>
      <c r="Q427" s="84"/>
      <c r="R427" s="84"/>
      <c r="S427" s="84"/>
      <c r="T427" s="84"/>
      <c r="U427" s="84"/>
      <c r="V427" s="84" t="s">
        <v>1503</v>
      </c>
      <c r="W427" s="90" t="str">
        <f>HYPERLINK("https://www.youtube.com/watch?v=pAnk0TK3Y7I")</f>
        <v>https://www.youtube.com/watch?v=pAnk0TK3Y7I</v>
      </c>
      <c r="X427" s="84"/>
      <c r="Y427" s="84"/>
      <c r="Z427" s="84" t="s">
        <v>1796</v>
      </c>
      <c r="AA427" s="84"/>
      <c r="AB427" s="84"/>
      <c r="AC427" s="84"/>
      <c r="AD427" s="84"/>
      <c r="AE427">
        <v>3</v>
      </c>
      <c r="AF427" s="83" t="str">
        <f>REPLACE(INDEX(GroupVertices[Group],MATCH(Edges[[#This Row],[Vertex 1]],GroupVertices[Vertex],0)),1,1,"")</f>
        <v>6</v>
      </c>
      <c r="AG427" s="83" t="str">
        <f>REPLACE(INDEX(GroupVertices[Group],MATCH(Edges[[#This Row],[Vertex 2]],GroupVertices[Vertex],0)),1,1,"")</f>
        <v>6</v>
      </c>
      <c r="AH427" s="31"/>
      <c r="AI427" s="31"/>
      <c r="AJ427" s="31"/>
      <c r="AK427" s="31"/>
      <c r="AL427" s="31"/>
      <c r="AM427" s="31"/>
      <c r="AN427" s="31"/>
      <c r="AO427" s="31"/>
      <c r="AP427" s="31"/>
    </row>
    <row r="428" spans="1:42" ht="15">
      <c r="A428" s="61" t="s">
        <v>621</v>
      </c>
      <c r="B428" s="61" t="s">
        <v>621</v>
      </c>
      <c r="C428" s="62" t="s">
        <v>2892</v>
      </c>
      <c r="D428" s="63">
        <v>6.666666666666667</v>
      </c>
      <c r="E428" s="62"/>
      <c r="F428" s="65">
        <v>15</v>
      </c>
      <c r="G428" s="62"/>
      <c r="H428" s="66"/>
      <c r="I428" s="67"/>
      <c r="J428" s="67"/>
      <c r="K428" s="31" t="s">
        <v>65</v>
      </c>
      <c r="L428" s="68">
        <v>428</v>
      </c>
      <c r="M428" s="68"/>
      <c r="N428" s="69"/>
      <c r="O428" s="84" t="s">
        <v>654</v>
      </c>
      <c r="P428" s="84"/>
      <c r="Q428" s="84"/>
      <c r="R428" s="84"/>
      <c r="S428" s="84"/>
      <c r="T428" s="84"/>
      <c r="U428" s="84"/>
      <c r="V428" s="84" t="s">
        <v>1504</v>
      </c>
      <c r="W428" s="90" t="str">
        <f>HYPERLINK("https://www.youtube.com/watch?v=_ie2B6G9cMw")</f>
        <v>https://www.youtube.com/watch?v=_ie2B6G9cMw</v>
      </c>
      <c r="X428" s="84"/>
      <c r="Y428" s="84"/>
      <c r="Z428" s="84" t="s">
        <v>1797</v>
      </c>
      <c r="AA428" s="84"/>
      <c r="AB428" s="84"/>
      <c r="AC428" s="84"/>
      <c r="AD428" s="84"/>
      <c r="AE428">
        <v>3</v>
      </c>
      <c r="AF428" s="83" t="str">
        <f>REPLACE(INDEX(GroupVertices[Group],MATCH(Edges[[#This Row],[Vertex 1]],GroupVertices[Vertex],0)),1,1,"")</f>
        <v>6</v>
      </c>
      <c r="AG428" s="83" t="str">
        <f>REPLACE(INDEX(GroupVertices[Group],MATCH(Edges[[#This Row],[Vertex 2]],GroupVertices[Vertex],0)),1,1,"")</f>
        <v>6</v>
      </c>
      <c r="AH428" s="31"/>
      <c r="AI428" s="31"/>
      <c r="AJ428" s="31"/>
      <c r="AK428" s="31"/>
      <c r="AL428" s="31"/>
      <c r="AM428" s="31"/>
      <c r="AN428" s="31"/>
      <c r="AO428" s="31"/>
      <c r="AP428" s="31"/>
    </row>
    <row r="429" spans="1:42" ht="15">
      <c r="A429" s="61" t="s">
        <v>622</v>
      </c>
      <c r="B429" s="61" t="s">
        <v>622</v>
      </c>
      <c r="C429" s="62" t="s">
        <v>2891</v>
      </c>
      <c r="D429" s="63">
        <v>5</v>
      </c>
      <c r="E429" s="62"/>
      <c r="F429" s="65">
        <v>25</v>
      </c>
      <c r="G429" s="62"/>
      <c r="H429" s="66"/>
      <c r="I429" s="67"/>
      <c r="J429" s="67"/>
      <c r="K429" s="31" t="s">
        <v>65</v>
      </c>
      <c r="L429" s="68">
        <v>429</v>
      </c>
      <c r="M429" s="68"/>
      <c r="N429" s="69"/>
      <c r="O429" s="84" t="s">
        <v>653</v>
      </c>
      <c r="P429" s="84" t="s">
        <v>215</v>
      </c>
      <c r="Q429" s="88" t="s">
        <v>1058</v>
      </c>
      <c r="R429" s="84" t="s">
        <v>622</v>
      </c>
      <c r="S429" s="84" t="s">
        <v>1446</v>
      </c>
      <c r="T429" s="90" t="str">
        <f>HYPERLINK("http://www.youtube.com/channel/UCzH0b69GmcdQg-ArmrgeNsQ")</f>
        <v>http://www.youtube.com/channel/UCzH0b69GmcdQg-ArmrgeNsQ</v>
      </c>
      <c r="U429" s="84"/>
      <c r="V429" s="84" t="s">
        <v>1458</v>
      </c>
      <c r="W429" s="90" t="str">
        <f>HYPERLINK("https://www.youtube.com/watch?v=vRHHbTppzg8")</f>
        <v>https://www.youtube.com/watch?v=vRHHbTppzg8</v>
      </c>
      <c r="X429" s="84" t="s">
        <v>1537</v>
      </c>
      <c r="Y429" s="84">
        <v>5</v>
      </c>
      <c r="Z429" s="93">
        <v>43955.682858796295</v>
      </c>
      <c r="AA429" s="93">
        <v>43955.682858796295</v>
      </c>
      <c r="AB429" s="84"/>
      <c r="AC429" s="84"/>
      <c r="AD429" s="88" t="s">
        <v>1874</v>
      </c>
      <c r="AE429" s="86">
        <v>1</v>
      </c>
      <c r="AF429" s="87" t="str">
        <f>REPLACE(INDEX(GroupVertices[Group],MATCH(Edges[[#This Row],[Vertex 1]],GroupVertices[Vertex],0)),1,1,"")</f>
        <v>10</v>
      </c>
      <c r="AG429" s="87" t="str">
        <f>REPLACE(INDEX(GroupVertices[Group],MATCH(Edges[[#This Row],[Vertex 2]],GroupVertices[Vertex],0)),1,1,"")</f>
        <v>10</v>
      </c>
      <c r="AH429" s="105"/>
      <c r="AI429" s="105"/>
      <c r="AJ429" s="105"/>
      <c r="AK429" s="105"/>
      <c r="AL429" s="105"/>
      <c r="AM429" s="105"/>
      <c r="AN429" s="105"/>
      <c r="AO429" s="105"/>
      <c r="AP429" s="105"/>
    </row>
    <row r="430" spans="1:42" ht="15">
      <c r="A430" s="61" t="s">
        <v>622</v>
      </c>
      <c r="B430" s="61" t="s">
        <v>622</v>
      </c>
      <c r="C430" s="62" t="s">
        <v>2892</v>
      </c>
      <c r="D430" s="63">
        <v>5.833333333333333</v>
      </c>
      <c r="E430" s="62"/>
      <c r="F430" s="65">
        <v>15</v>
      </c>
      <c r="G430" s="62"/>
      <c r="H430" s="66"/>
      <c r="I430" s="67"/>
      <c r="J430" s="67"/>
      <c r="K430" s="31" t="s">
        <v>65</v>
      </c>
      <c r="L430" s="68">
        <v>430</v>
      </c>
      <c r="M430" s="68"/>
      <c r="N430" s="69"/>
      <c r="O430" s="84" t="s">
        <v>654</v>
      </c>
      <c r="P430" s="84"/>
      <c r="Q430" s="84"/>
      <c r="R430" s="84"/>
      <c r="S430" s="84"/>
      <c r="T430" s="84"/>
      <c r="U430" s="84"/>
      <c r="V430" s="84" t="s">
        <v>1458</v>
      </c>
      <c r="W430" s="90" t="str">
        <f>HYPERLINK("https://www.youtube.com/watch?v=vRHHbTppzg8")</f>
        <v>https://www.youtube.com/watch?v=vRHHbTppzg8</v>
      </c>
      <c r="X430" s="84"/>
      <c r="Y430" s="84"/>
      <c r="Z430" s="93">
        <v>43955.67377314815</v>
      </c>
      <c r="AA430" s="84"/>
      <c r="AB430" s="84"/>
      <c r="AC430" s="84"/>
      <c r="AD430" s="84"/>
      <c r="AE430">
        <v>2</v>
      </c>
      <c r="AF430" s="83" t="str">
        <f>REPLACE(INDEX(GroupVertices[Group],MATCH(Edges[[#This Row],[Vertex 1]],GroupVertices[Vertex],0)),1,1,"")</f>
        <v>10</v>
      </c>
      <c r="AG430" s="83" t="str">
        <f>REPLACE(INDEX(GroupVertices[Group],MATCH(Edges[[#This Row],[Vertex 2]],GroupVertices[Vertex],0)),1,1,"")</f>
        <v>10</v>
      </c>
      <c r="AH430" s="31"/>
      <c r="AI430" s="31"/>
      <c r="AJ430" s="31"/>
      <c r="AK430" s="31"/>
      <c r="AL430" s="31"/>
      <c r="AM430" s="31"/>
      <c r="AN430" s="31"/>
      <c r="AO430" s="31"/>
      <c r="AP430" s="31"/>
    </row>
    <row r="431" spans="1:42" ht="15">
      <c r="A431" s="61" t="s">
        <v>622</v>
      </c>
      <c r="B431" s="61" t="s">
        <v>622</v>
      </c>
      <c r="C431" s="62" t="s">
        <v>2892</v>
      </c>
      <c r="D431" s="63">
        <v>5.833333333333333</v>
      </c>
      <c r="E431" s="62"/>
      <c r="F431" s="65">
        <v>15</v>
      </c>
      <c r="G431" s="62"/>
      <c r="H431" s="66"/>
      <c r="I431" s="67"/>
      <c r="J431" s="67"/>
      <c r="K431" s="31" t="s">
        <v>65</v>
      </c>
      <c r="L431" s="68">
        <v>431</v>
      </c>
      <c r="M431" s="68"/>
      <c r="N431" s="69"/>
      <c r="O431" s="84" t="s">
        <v>654</v>
      </c>
      <c r="P431" s="84"/>
      <c r="Q431" s="84"/>
      <c r="R431" s="84"/>
      <c r="S431" s="84"/>
      <c r="T431" s="84"/>
      <c r="U431" s="84"/>
      <c r="V431" s="84" t="s">
        <v>1461</v>
      </c>
      <c r="W431" s="90" t="str">
        <f>HYPERLINK("https://www.youtube.com/watch?v=jaurWTKCNkc")</f>
        <v>https://www.youtube.com/watch?v=jaurWTKCNkc</v>
      </c>
      <c r="X431" s="84"/>
      <c r="Y431" s="84"/>
      <c r="Z431" s="93">
        <v>43900.80946759259</v>
      </c>
      <c r="AA431" s="84"/>
      <c r="AB431" s="84"/>
      <c r="AC431" s="84"/>
      <c r="AD431" s="84"/>
      <c r="AE431">
        <v>2</v>
      </c>
      <c r="AF431" s="83" t="str">
        <f>REPLACE(INDEX(GroupVertices[Group],MATCH(Edges[[#This Row],[Vertex 1]],GroupVertices[Vertex],0)),1,1,"")</f>
        <v>10</v>
      </c>
      <c r="AG431" s="83" t="str">
        <f>REPLACE(INDEX(GroupVertices[Group],MATCH(Edges[[#This Row],[Vertex 2]],GroupVertices[Vertex],0)),1,1,"")</f>
        <v>10</v>
      </c>
      <c r="AH431" s="31"/>
      <c r="AI431" s="31"/>
      <c r="AJ431" s="31"/>
      <c r="AK431" s="31"/>
      <c r="AL431" s="31"/>
      <c r="AM431" s="31"/>
      <c r="AN431" s="31"/>
      <c r="AO431" s="31"/>
      <c r="AP431" s="31"/>
    </row>
    <row r="432" spans="1:42" ht="15">
      <c r="A432" s="61" t="s">
        <v>623</v>
      </c>
      <c r="B432" s="61" t="s">
        <v>623</v>
      </c>
      <c r="C432" s="62" t="s">
        <v>2891</v>
      </c>
      <c r="D432" s="63">
        <v>5</v>
      </c>
      <c r="E432" s="62"/>
      <c r="F432" s="65">
        <v>25</v>
      </c>
      <c r="G432" s="62"/>
      <c r="H432" s="66"/>
      <c r="I432" s="67"/>
      <c r="J432" s="67"/>
      <c r="K432" s="31" t="s">
        <v>65</v>
      </c>
      <c r="L432" s="68">
        <v>432</v>
      </c>
      <c r="M432" s="68"/>
      <c r="N432" s="69"/>
      <c r="O432" s="84" t="s">
        <v>654</v>
      </c>
      <c r="P432" s="84"/>
      <c r="Q432" s="84"/>
      <c r="R432" s="84"/>
      <c r="S432" s="84"/>
      <c r="T432" s="84"/>
      <c r="U432" s="84"/>
      <c r="V432" s="84" t="s">
        <v>1505</v>
      </c>
      <c r="W432" s="90" t="str">
        <f>HYPERLINK("https://www.youtube.com/watch?v=NZpOl-ebK9Q")</f>
        <v>https://www.youtube.com/watch?v=NZpOl-ebK9Q</v>
      </c>
      <c r="X432" s="84"/>
      <c r="Y432" s="84"/>
      <c r="Z432" s="84" t="s">
        <v>1798</v>
      </c>
      <c r="AA432" s="84"/>
      <c r="AB432" s="84"/>
      <c r="AC432" s="84"/>
      <c r="AD432" s="84"/>
      <c r="AE432">
        <v>1</v>
      </c>
      <c r="AF432" s="83" t="str">
        <f>REPLACE(INDEX(GroupVertices[Group],MATCH(Edges[[#This Row],[Vertex 1]],GroupVertices[Vertex],0)),1,1,"")</f>
        <v>6</v>
      </c>
      <c r="AG432" s="83" t="str">
        <f>REPLACE(INDEX(GroupVertices[Group],MATCH(Edges[[#This Row],[Vertex 2]],GroupVertices[Vertex],0)),1,1,"")</f>
        <v>6</v>
      </c>
      <c r="AH432" s="31"/>
      <c r="AI432" s="31"/>
      <c r="AJ432" s="31"/>
      <c r="AK432" s="31"/>
      <c r="AL432" s="31"/>
      <c r="AM432" s="31"/>
      <c r="AN432" s="31"/>
      <c r="AO432" s="31"/>
      <c r="AP432" s="31"/>
    </row>
    <row r="433" spans="1:42" ht="15">
      <c r="A433" s="61" t="s">
        <v>624</v>
      </c>
      <c r="B433" s="61" t="s">
        <v>624</v>
      </c>
      <c r="C433" s="62" t="s">
        <v>2892</v>
      </c>
      <c r="D433" s="63">
        <v>6.666666666666667</v>
      </c>
      <c r="E433" s="62"/>
      <c r="F433" s="65">
        <v>15</v>
      </c>
      <c r="G433" s="62"/>
      <c r="H433" s="66"/>
      <c r="I433" s="67"/>
      <c r="J433" s="67"/>
      <c r="K433" s="31" t="s">
        <v>65</v>
      </c>
      <c r="L433" s="68">
        <v>433</v>
      </c>
      <c r="M433" s="68"/>
      <c r="N433" s="69"/>
      <c r="O433" s="84" t="s">
        <v>654</v>
      </c>
      <c r="P433" s="84"/>
      <c r="Q433" s="84"/>
      <c r="R433" s="84"/>
      <c r="S433" s="84"/>
      <c r="T433" s="84"/>
      <c r="U433" s="84"/>
      <c r="V433" s="84" t="s">
        <v>1506</v>
      </c>
      <c r="W433" s="90" t="str">
        <f>HYPERLINK("https://www.youtube.com/watch?v=LFY-v_DcgRs")</f>
        <v>https://www.youtube.com/watch?v=LFY-v_DcgRs</v>
      </c>
      <c r="X433" s="84"/>
      <c r="Y433" s="84"/>
      <c r="Z433" s="93">
        <v>45113.78853009259</v>
      </c>
      <c r="AA433" s="84"/>
      <c r="AB433" s="84"/>
      <c r="AC433" s="84"/>
      <c r="AD433" s="84"/>
      <c r="AE433">
        <v>3</v>
      </c>
      <c r="AF433" s="83" t="str">
        <f>REPLACE(INDEX(GroupVertices[Group],MATCH(Edges[[#This Row],[Vertex 1]],GroupVertices[Vertex],0)),1,1,"")</f>
        <v>6</v>
      </c>
      <c r="AG433" s="83" t="str">
        <f>REPLACE(INDEX(GroupVertices[Group],MATCH(Edges[[#This Row],[Vertex 2]],GroupVertices[Vertex],0)),1,1,"")</f>
        <v>6</v>
      </c>
      <c r="AH433" s="31"/>
      <c r="AI433" s="31"/>
      <c r="AJ433" s="31"/>
      <c r="AK433" s="31"/>
      <c r="AL433" s="31"/>
      <c r="AM433" s="31"/>
      <c r="AN433" s="31"/>
      <c r="AO433" s="31"/>
      <c r="AP433" s="31"/>
    </row>
    <row r="434" spans="1:42" ht="15">
      <c r="A434" s="61" t="s">
        <v>624</v>
      </c>
      <c r="B434" s="61" t="s">
        <v>624</v>
      </c>
      <c r="C434" s="62" t="s">
        <v>2892</v>
      </c>
      <c r="D434" s="63">
        <v>6.666666666666667</v>
      </c>
      <c r="E434" s="62"/>
      <c r="F434" s="65">
        <v>15</v>
      </c>
      <c r="G434" s="62"/>
      <c r="H434" s="66"/>
      <c r="I434" s="67"/>
      <c r="J434" s="67"/>
      <c r="K434" s="31" t="s">
        <v>65</v>
      </c>
      <c r="L434" s="68">
        <v>434</v>
      </c>
      <c r="M434" s="68"/>
      <c r="N434" s="69"/>
      <c r="O434" s="84" t="s">
        <v>654</v>
      </c>
      <c r="P434" s="84"/>
      <c r="Q434" s="84"/>
      <c r="R434" s="84"/>
      <c r="S434" s="84"/>
      <c r="T434" s="84"/>
      <c r="U434" s="84"/>
      <c r="V434" s="84" t="s">
        <v>1507</v>
      </c>
      <c r="W434" s="90" t="str">
        <f>HYPERLINK("https://www.youtube.com/watch?v=jPa_1OD8-FM")</f>
        <v>https://www.youtube.com/watch?v=jPa_1OD8-FM</v>
      </c>
      <c r="X434" s="84"/>
      <c r="Y434" s="84"/>
      <c r="Z434" s="93">
        <v>45083.5003125</v>
      </c>
      <c r="AA434" s="84"/>
      <c r="AB434" s="84"/>
      <c r="AC434" s="84"/>
      <c r="AD434" s="84"/>
      <c r="AE434">
        <v>3</v>
      </c>
      <c r="AF434" s="83" t="str">
        <f>REPLACE(INDEX(GroupVertices[Group],MATCH(Edges[[#This Row],[Vertex 1]],GroupVertices[Vertex],0)),1,1,"")</f>
        <v>6</v>
      </c>
      <c r="AG434" s="83" t="str">
        <f>REPLACE(INDEX(GroupVertices[Group],MATCH(Edges[[#This Row],[Vertex 2]],GroupVertices[Vertex],0)),1,1,"")</f>
        <v>6</v>
      </c>
      <c r="AH434" s="31"/>
      <c r="AI434" s="31"/>
      <c r="AJ434" s="31"/>
      <c r="AK434" s="31"/>
      <c r="AL434" s="31"/>
      <c r="AM434" s="31"/>
      <c r="AN434" s="31"/>
      <c r="AO434" s="31"/>
      <c r="AP434" s="31"/>
    </row>
    <row r="435" spans="1:42" ht="15">
      <c r="A435" s="61" t="s">
        <v>624</v>
      </c>
      <c r="B435" s="61" t="s">
        <v>624</v>
      </c>
      <c r="C435" s="62" t="s">
        <v>2892</v>
      </c>
      <c r="D435" s="63">
        <v>6.666666666666667</v>
      </c>
      <c r="E435" s="62"/>
      <c r="F435" s="65">
        <v>15</v>
      </c>
      <c r="G435" s="62"/>
      <c r="H435" s="66"/>
      <c r="I435" s="67"/>
      <c r="J435" s="67"/>
      <c r="K435" s="31" t="s">
        <v>65</v>
      </c>
      <c r="L435" s="68">
        <v>435</v>
      </c>
      <c r="M435" s="68"/>
      <c r="N435" s="69"/>
      <c r="O435" s="84" t="s">
        <v>654</v>
      </c>
      <c r="P435" s="84"/>
      <c r="Q435" s="84"/>
      <c r="R435" s="84"/>
      <c r="S435" s="84"/>
      <c r="T435" s="84"/>
      <c r="U435" s="84"/>
      <c r="V435" s="84" t="s">
        <v>1508</v>
      </c>
      <c r="W435" s="90" t="str">
        <f>HYPERLINK("https://www.youtube.com/watch?v=6425VEfS6VU")</f>
        <v>https://www.youtube.com/watch?v=6425VEfS6VU</v>
      </c>
      <c r="X435" s="84"/>
      <c r="Y435" s="84"/>
      <c r="Z435" s="93">
        <v>45113.78868055555</v>
      </c>
      <c r="AA435" s="84"/>
      <c r="AB435" s="84"/>
      <c r="AC435" s="84"/>
      <c r="AD435" s="84"/>
      <c r="AE435">
        <v>3</v>
      </c>
      <c r="AF435" s="83" t="str">
        <f>REPLACE(INDEX(GroupVertices[Group],MATCH(Edges[[#This Row],[Vertex 1]],GroupVertices[Vertex],0)),1,1,"")</f>
        <v>6</v>
      </c>
      <c r="AG435" s="83" t="str">
        <f>REPLACE(INDEX(GroupVertices[Group],MATCH(Edges[[#This Row],[Vertex 2]],GroupVertices[Vertex],0)),1,1,"")</f>
        <v>6</v>
      </c>
      <c r="AH435" s="31"/>
      <c r="AI435" s="31"/>
      <c r="AJ435" s="31"/>
      <c r="AK435" s="31"/>
      <c r="AL435" s="31"/>
      <c r="AM435" s="31"/>
      <c r="AN435" s="31"/>
      <c r="AO435" s="31"/>
      <c r="AP435" s="31"/>
    </row>
    <row r="436" spans="1:42" ht="15">
      <c r="A436" s="61" t="s">
        <v>625</v>
      </c>
      <c r="B436" s="61" t="s">
        <v>625</v>
      </c>
      <c r="C436" s="62" t="s">
        <v>2891</v>
      </c>
      <c r="D436" s="63">
        <v>5</v>
      </c>
      <c r="E436" s="62"/>
      <c r="F436" s="65">
        <v>25</v>
      </c>
      <c r="G436" s="62"/>
      <c r="H436" s="66"/>
      <c r="I436" s="67"/>
      <c r="J436" s="67"/>
      <c r="K436" s="31" t="s">
        <v>65</v>
      </c>
      <c r="L436" s="68">
        <v>436</v>
      </c>
      <c r="M436" s="68"/>
      <c r="N436" s="69"/>
      <c r="O436" s="84" t="s">
        <v>654</v>
      </c>
      <c r="P436" s="84"/>
      <c r="Q436" s="84"/>
      <c r="R436" s="84"/>
      <c r="S436" s="84"/>
      <c r="T436" s="84"/>
      <c r="U436" s="84"/>
      <c r="V436" s="84" t="s">
        <v>1462</v>
      </c>
      <c r="W436" s="90" t="str">
        <f>HYPERLINK("https://www.youtube.com/watch?v=3fKejl2nFc4")</f>
        <v>https://www.youtube.com/watch?v=3fKejl2nFc4</v>
      </c>
      <c r="X436" s="84"/>
      <c r="Y436" s="84"/>
      <c r="Z436" s="84" t="s">
        <v>1799</v>
      </c>
      <c r="AA436" s="84"/>
      <c r="AB436" s="84"/>
      <c r="AC436" s="84"/>
      <c r="AD436" s="84"/>
      <c r="AE436">
        <v>1</v>
      </c>
      <c r="AF436" s="83" t="str">
        <f>REPLACE(INDEX(GroupVertices[Group],MATCH(Edges[[#This Row],[Vertex 1]],GroupVertices[Vertex],0)),1,1,"")</f>
        <v>18</v>
      </c>
      <c r="AG436" s="83" t="str">
        <f>REPLACE(INDEX(GroupVertices[Group],MATCH(Edges[[#This Row],[Vertex 2]],GroupVertices[Vertex],0)),1,1,"")</f>
        <v>18</v>
      </c>
      <c r="AH436" s="31"/>
      <c r="AI436" s="31"/>
      <c r="AJ436" s="31"/>
      <c r="AK436" s="31"/>
      <c r="AL436" s="31"/>
      <c r="AM436" s="31"/>
      <c r="AN436" s="31"/>
      <c r="AO436" s="31"/>
      <c r="AP436" s="31"/>
    </row>
    <row r="437" spans="1:42" ht="15">
      <c r="A437" s="61" t="s">
        <v>626</v>
      </c>
      <c r="B437" s="61" t="s">
        <v>626</v>
      </c>
      <c r="C437" s="62" t="s">
        <v>2892</v>
      </c>
      <c r="D437" s="63">
        <v>10</v>
      </c>
      <c r="E437" s="62"/>
      <c r="F437" s="65">
        <v>15</v>
      </c>
      <c r="G437" s="62"/>
      <c r="H437" s="66"/>
      <c r="I437" s="67"/>
      <c r="J437" s="67"/>
      <c r="K437" s="31" t="s">
        <v>65</v>
      </c>
      <c r="L437" s="68">
        <v>437</v>
      </c>
      <c r="M437" s="68"/>
      <c r="N437" s="69"/>
      <c r="O437" s="84" t="s">
        <v>654</v>
      </c>
      <c r="P437" s="84"/>
      <c r="Q437" s="84"/>
      <c r="R437" s="84"/>
      <c r="S437" s="84"/>
      <c r="T437" s="84"/>
      <c r="U437" s="84"/>
      <c r="V437" s="84" t="s">
        <v>1509</v>
      </c>
      <c r="W437" s="90" t="str">
        <f>HYPERLINK("https://www.youtube.com/watch?v=1KdmlnE1q9s")</f>
        <v>https://www.youtube.com/watch?v=1KdmlnE1q9s</v>
      </c>
      <c r="X437" s="84"/>
      <c r="Y437" s="84"/>
      <c r="Z437" s="93">
        <v>44053.68534722222</v>
      </c>
      <c r="AA437" s="84"/>
      <c r="AB437" s="84"/>
      <c r="AC437" s="84"/>
      <c r="AD437" s="84"/>
      <c r="AE437">
        <v>7</v>
      </c>
      <c r="AF437" s="83" t="str">
        <f>REPLACE(INDEX(GroupVertices[Group],MATCH(Edges[[#This Row],[Vertex 1]],GroupVertices[Vertex],0)),1,1,"")</f>
        <v>6</v>
      </c>
      <c r="AG437" s="83" t="str">
        <f>REPLACE(INDEX(GroupVertices[Group],MATCH(Edges[[#This Row],[Vertex 2]],GroupVertices[Vertex],0)),1,1,"")</f>
        <v>6</v>
      </c>
      <c r="AH437" s="31"/>
      <c r="AI437" s="31"/>
      <c r="AJ437" s="31"/>
      <c r="AK437" s="31"/>
      <c r="AL437" s="31"/>
      <c r="AM437" s="31"/>
      <c r="AN437" s="31"/>
      <c r="AO437" s="31"/>
      <c r="AP437" s="31"/>
    </row>
    <row r="438" spans="1:42" ht="15">
      <c r="A438" s="61" t="s">
        <v>626</v>
      </c>
      <c r="B438" s="61" t="s">
        <v>626</v>
      </c>
      <c r="C438" s="62" t="s">
        <v>2892</v>
      </c>
      <c r="D438" s="63">
        <v>10</v>
      </c>
      <c r="E438" s="62"/>
      <c r="F438" s="65">
        <v>15</v>
      </c>
      <c r="G438" s="62"/>
      <c r="H438" s="66"/>
      <c r="I438" s="67"/>
      <c r="J438" s="67"/>
      <c r="K438" s="31" t="s">
        <v>65</v>
      </c>
      <c r="L438" s="68">
        <v>438</v>
      </c>
      <c r="M438" s="68"/>
      <c r="N438" s="69"/>
      <c r="O438" s="84" t="s">
        <v>654</v>
      </c>
      <c r="P438" s="84"/>
      <c r="Q438" s="84"/>
      <c r="R438" s="84"/>
      <c r="S438" s="84"/>
      <c r="T438" s="84"/>
      <c r="U438" s="84"/>
      <c r="V438" s="84" t="s">
        <v>1510</v>
      </c>
      <c r="W438" s="90" t="str">
        <f>HYPERLINK("https://www.youtube.com/watch?v=LbQWorOgNEo")</f>
        <v>https://www.youtube.com/watch?v=LbQWorOgNEo</v>
      </c>
      <c r="X438" s="84"/>
      <c r="Y438" s="84"/>
      <c r="Z438" s="93">
        <v>44053.684328703705</v>
      </c>
      <c r="AA438" s="84"/>
      <c r="AB438" s="84"/>
      <c r="AC438" s="84"/>
      <c r="AD438" s="84"/>
      <c r="AE438">
        <v>7</v>
      </c>
      <c r="AF438" s="83" t="str">
        <f>REPLACE(INDEX(GroupVertices[Group],MATCH(Edges[[#This Row],[Vertex 1]],GroupVertices[Vertex],0)),1,1,"")</f>
        <v>6</v>
      </c>
      <c r="AG438" s="83" t="str">
        <f>REPLACE(INDEX(GroupVertices[Group],MATCH(Edges[[#This Row],[Vertex 2]],GroupVertices[Vertex],0)),1,1,"")</f>
        <v>6</v>
      </c>
      <c r="AH438" s="31"/>
      <c r="AI438" s="31"/>
      <c r="AJ438" s="31"/>
      <c r="AK438" s="31"/>
      <c r="AL438" s="31"/>
      <c r="AM438" s="31"/>
      <c r="AN438" s="31"/>
      <c r="AO438" s="31"/>
      <c r="AP438" s="31"/>
    </row>
    <row r="439" spans="1:42" ht="15">
      <c r="A439" s="61" t="s">
        <v>626</v>
      </c>
      <c r="B439" s="61" t="s">
        <v>626</v>
      </c>
      <c r="C439" s="62" t="s">
        <v>2892</v>
      </c>
      <c r="D439" s="63">
        <v>10</v>
      </c>
      <c r="E439" s="62"/>
      <c r="F439" s="65">
        <v>15</v>
      </c>
      <c r="G439" s="62"/>
      <c r="H439" s="66"/>
      <c r="I439" s="67"/>
      <c r="J439" s="67"/>
      <c r="K439" s="31" t="s">
        <v>65</v>
      </c>
      <c r="L439" s="68">
        <v>439</v>
      </c>
      <c r="M439" s="68"/>
      <c r="N439" s="69"/>
      <c r="O439" s="84" t="s">
        <v>654</v>
      </c>
      <c r="P439" s="84"/>
      <c r="Q439" s="84"/>
      <c r="R439" s="84"/>
      <c r="S439" s="84"/>
      <c r="T439" s="84"/>
      <c r="U439" s="84"/>
      <c r="V439" s="84" t="s">
        <v>1511</v>
      </c>
      <c r="W439" s="90" t="str">
        <f>HYPERLINK("https://www.youtube.com/watch?v=YiPjqFOnO3k")</f>
        <v>https://www.youtube.com/watch?v=YiPjqFOnO3k</v>
      </c>
      <c r="X439" s="84"/>
      <c r="Y439" s="84"/>
      <c r="Z439" s="93">
        <v>44053.68572916667</v>
      </c>
      <c r="AA439" s="84"/>
      <c r="AB439" s="84"/>
      <c r="AC439" s="84"/>
      <c r="AD439" s="84"/>
      <c r="AE439">
        <v>7</v>
      </c>
      <c r="AF439" s="83" t="str">
        <f>REPLACE(INDEX(GroupVertices[Group],MATCH(Edges[[#This Row],[Vertex 1]],GroupVertices[Vertex],0)),1,1,"")</f>
        <v>6</v>
      </c>
      <c r="AG439" s="83" t="str">
        <f>REPLACE(INDEX(GroupVertices[Group],MATCH(Edges[[#This Row],[Vertex 2]],GroupVertices[Vertex],0)),1,1,"")</f>
        <v>6</v>
      </c>
      <c r="AH439" s="31"/>
      <c r="AI439" s="31"/>
      <c r="AJ439" s="31"/>
      <c r="AK439" s="31"/>
      <c r="AL439" s="31"/>
      <c r="AM439" s="31"/>
      <c r="AN439" s="31"/>
      <c r="AO439" s="31"/>
      <c r="AP439" s="31"/>
    </row>
    <row r="440" spans="1:42" ht="15">
      <c r="A440" s="61" t="s">
        <v>626</v>
      </c>
      <c r="B440" s="61" t="s">
        <v>626</v>
      </c>
      <c r="C440" s="62" t="s">
        <v>2892</v>
      </c>
      <c r="D440" s="63">
        <v>10</v>
      </c>
      <c r="E440" s="62"/>
      <c r="F440" s="65">
        <v>15</v>
      </c>
      <c r="G440" s="62"/>
      <c r="H440" s="66"/>
      <c r="I440" s="67"/>
      <c r="J440" s="67"/>
      <c r="K440" s="31" t="s">
        <v>65</v>
      </c>
      <c r="L440" s="68">
        <v>440</v>
      </c>
      <c r="M440" s="68"/>
      <c r="N440" s="69"/>
      <c r="O440" s="84" t="s">
        <v>654</v>
      </c>
      <c r="P440" s="84"/>
      <c r="Q440" s="84"/>
      <c r="R440" s="84"/>
      <c r="S440" s="84"/>
      <c r="T440" s="84"/>
      <c r="U440" s="84"/>
      <c r="V440" s="84" t="s">
        <v>1512</v>
      </c>
      <c r="W440" s="90" t="str">
        <f>HYPERLINK("https://www.youtube.com/watch?v=JNfMrQVwdu0")</f>
        <v>https://www.youtube.com/watch?v=JNfMrQVwdu0</v>
      </c>
      <c r="X440" s="84"/>
      <c r="Y440" s="84"/>
      <c r="Z440" s="93">
        <v>44053.685277777775</v>
      </c>
      <c r="AA440" s="84"/>
      <c r="AB440" s="84"/>
      <c r="AC440" s="84"/>
      <c r="AD440" s="84"/>
      <c r="AE440">
        <v>7</v>
      </c>
      <c r="AF440" s="83" t="str">
        <f>REPLACE(INDEX(GroupVertices[Group],MATCH(Edges[[#This Row],[Vertex 1]],GroupVertices[Vertex],0)),1,1,"")</f>
        <v>6</v>
      </c>
      <c r="AG440" s="83" t="str">
        <f>REPLACE(INDEX(GroupVertices[Group],MATCH(Edges[[#This Row],[Vertex 2]],GroupVertices[Vertex],0)),1,1,"")</f>
        <v>6</v>
      </c>
      <c r="AH440" s="31"/>
      <c r="AI440" s="31"/>
      <c r="AJ440" s="31"/>
      <c r="AK440" s="31"/>
      <c r="AL440" s="31"/>
      <c r="AM440" s="31"/>
      <c r="AN440" s="31"/>
      <c r="AO440" s="31"/>
      <c r="AP440" s="31"/>
    </row>
    <row r="441" spans="1:42" ht="15">
      <c r="A441" s="61" t="s">
        <v>626</v>
      </c>
      <c r="B441" s="61" t="s">
        <v>626</v>
      </c>
      <c r="C441" s="62" t="s">
        <v>2892</v>
      </c>
      <c r="D441" s="63">
        <v>10</v>
      </c>
      <c r="E441" s="62"/>
      <c r="F441" s="65">
        <v>15</v>
      </c>
      <c r="G441" s="62"/>
      <c r="H441" s="66"/>
      <c r="I441" s="67"/>
      <c r="J441" s="67"/>
      <c r="K441" s="31" t="s">
        <v>65</v>
      </c>
      <c r="L441" s="68">
        <v>441</v>
      </c>
      <c r="M441" s="68"/>
      <c r="N441" s="69"/>
      <c r="O441" s="84" t="s">
        <v>654</v>
      </c>
      <c r="P441" s="84"/>
      <c r="Q441" s="84"/>
      <c r="R441" s="84"/>
      <c r="S441" s="84"/>
      <c r="T441" s="84"/>
      <c r="U441" s="84"/>
      <c r="V441" s="84" t="s">
        <v>1513</v>
      </c>
      <c r="W441" s="90" t="str">
        <f>HYPERLINK("https://www.youtube.com/watch?v=kB0ZSQUz-fw")</f>
        <v>https://www.youtube.com/watch?v=kB0ZSQUz-fw</v>
      </c>
      <c r="X441" s="84"/>
      <c r="Y441" s="84"/>
      <c r="Z441" s="93">
        <v>44053.68481481481</v>
      </c>
      <c r="AA441" s="84"/>
      <c r="AB441" s="84"/>
      <c r="AC441" s="84"/>
      <c r="AD441" s="84"/>
      <c r="AE441">
        <v>7</v>
      </c>
      <c r="AF441" s="83" t="str">
        <f>REPLACE(INDEX(GroupVertices[Group],MATCH(Edges[[#This Row],[Vertex 1]],GroupVertices[Vertex],0)),1,1,"")</f>
        <v>6</v>
      </c>
      <c r="AG441" s="83" t="str">
        <f>REPLACE(INDEX(GroupVertices[Group],MATCH(Edges[[#This Row],[Vertex 2]],GroupVertices[Vertex],0)),1,1,"")</f>
        <v>6</v>
      </c>
      <c r="AH441" s="31"/>
      <c r="AI441" s="31"/>
      <c r="AJ441" s="31"/>
      <c r="AK441" s="31"/>
      <c r="AL441" s="31"/>
      <c r="AM441" s="31"/>
      <c r="AN441" s="31"/>
      <c r="AO441" s="31"/>
      <c r="AP441" s="31"/>
    </row>
    <row r="442" spans="1:42" ht="15">
      <c r="A442" s="61" t="s">
        <v>626</v>
      </c>
      <c r="B442" s="61" t="s">
        <v>626</v>
      </c>
      <c r="C442" s="62" t="s">
        <v>2892</v>
      </c>
      <c r="D442" s="63">
        <v>10</v>
      </c>
      <c r="E442" s="62"/>
      <c r="F442" s="65">
        <v>15</v>
      </c>
      <c r="G442" s="62"/>
      <c r="H442" s="66"/>
      <c r="I442" s="67"/>
      <c r="J442" s="67"/>
      <c r="K442" s="31" t="s">
        <v>65</v>
      </c>
      <c r="L442" s="68">
        <v>442</v>
      </c>
      <c r="M442" s="68"/>
      <c r="N442" s="69"/>
      <c r="O442" s="84" t="s">
        <v>654</v>
      </c>
      <c r="P442" s="84"/>
      <c r="Q442" s="84"/>
      <c r="R442" s="84"/>
      <c r="S442" s="84"/>
      <c r="T442" s="84"/>
      <c r="U442" s="84"/>
      <c r="V442" s="84" t="s">
        <v>1514</v>
      </c>
      <c r="W442" s="90" t="str">
        <f>HYPERLINK("https://www.youtube.com/watch?v=ECLOUOKoiOM")</f>
        <v>https://www.youtube.com/watch?v=ECLOUOKoiOM</v>
      </c>
      <c r="X442" s="84"/>
      <c r="Y442" s="84"/>
      <c r="Z442" s="93">
        <v>44053.68554398148</v>
      </c>
      <c r="AA442" s="84"/>
      <c r="AB442" s="84"/>
      <c r="AC442" s="84"/>
      <c r="AD442" s="84"/>
      <c r="AE442">
        <v>7</v>
      </c>
      <c r="AF442" s="83" t="str">
        <f>REPLACE(INDEX(GroupVertices[Group],MATCH(Edges[[#This Row],[Vertex 1]],GroupVertices[Vertex],0)),1,1,"")</f>
        <v>6</v>
      </c>
      <c r="AG442" s="83" t="str">
        <f>REPLACE(INDEX(GroupVertices[Group],MATCH(Edges[[#This Row],[Vertex 2]],GroupVertices[Vertex],0)),1,1,"")</f>
        <v>6</v>
      </c>
      <c r="AH442" s="31"/>
      <c r="AI442" s="31"/>
      <c r="AJ442" s="31"/>
      <c r="AK442" s="31"/>
      <c r="AL442" s="31"/>
      <c r="AM442" s="31"/>
      <c r="AN442" s="31"/>
      <c r="AO442" s="31"/>
      <c r="AP442" s="31"/>
    </row>
    <row r="443" spans="1:42" ht="15">
      <c r="A443" s="61" t="s">
        <v>626</v>
      </c>
      <c r="B443" s="61" t="s">
        <v>626</v>
      </c>
      <c r="C443" s="62" t="s">
        <v>2892</v>
      </c>
      <c r="D443" s="63">
        <v>10</v>
      </c>
      <c r="E443" s="62"/>
      <c r="F443" s="65">
        <v>15</v>
      </c>
      <c r="G443" s="62"/>
      <c r="H443" s="66"/>
      <c r="I443" s="67"/>
      <c r="J443" s="67"/>
      <c r="K443" s="31" t="s">
        <v>65</v>
      </c>
      <c r="L443" s="68">
        <v>443</v>
      </c>
      <c r="M443" s="68"/>
      <c r="N443" s="69"/>
      <c r="O443" s="84" t="s">
        <v>654</v>
      </c>
      <c r="P443" s="84"/>
      <c r="Q443" s="84"/>
      <c r="R443" s="84"/>
      <c r="S443" s="84"/>
      <c r="T443" s="84"/>
      <c r="U443" s="84"/>
      <c r="V443" s="84" t="s">
        <v>1515</v>
      </c>
      <c r="W443" s="90" t="str">
        <f>HYPERLINK("https://www.youtube.com/watch?v=D1fV3l3ZDJQ")</f>
        <v>https://www.youtube.com/watch?v=D1fV3l3ZDJQ</v>
      </c>
      <c r="X443" s="84"/>
      <c r="Y443" s="84"/>
      <c r="Z443" s="93">
        <v>44053.68417824074</v>
      </c>
      <c r="AA443" s="84"/>
      <c r="AB443" s="84"/>
      <c r="AC443" s="84"/>
      <c r="AD443" s="84"/>
      <c r="AE443">
        <v>7</v>
      </c>
      <c r="AF443" s="83" t="str">
        <f>REPLACE(INDEX(GroupVertices[Group],MATCH(Edges[[#This Row],[Vertex 1]],GroupVertices[Vertex],0)),1,1,"")</f>
        <v>6</v>
      </c>
      <c r="AG443" s="83" t="str">
        <f>REPLACE(INDEX(GroupVertices[Group],MATCH(Edges[[#This Row],[Vertex 2]],GroupVertices[Vertex],0)),1,1,"")</f>
        <v>6</v>
      </c>
      <c r="AH443" s="31"/>
      <c r="AI443" s="31"/>
      <c r="AJ443" s="31"/>
      <c r="AK443" s="31"/>
      <c r="AL443" s="31"/>
      <c r="AM443" s="31"/>
      <c r="AN443" s="31"/>
      <c r="AO443" s="31"/>
      <c r="AP443" s="31"/>
    </row>
    <row r="444" spans="1:42" ht="15">
      <c r="A444" s="61" t="s">
        <v>627</v>
      </c>
      <c r="B444" s="61" t="s">
        <v>627</v>
      </c>
      <c r="C444" s="62" t="s">
        <v>2891</v>
      </c>
      <c r="D444" s="63">
        <v>5</v>
      </c>
      <c r="E444" s="62"/>
      <c r="F444" s="65">
        <v>25</v>
      </c>
      <c r="G444" s="62"/>
      <c r="H444" s="66"/>
      <c r="I444" s="67"/>
      <c r="J444" s="67"/>
      <c r="K444" s="31" t="s">
        <v>65</v>
      </c>
      <c r="L444" s="68">
        <v>444</v>
      </c>
      <c r="M444" s="68"/>
      <c r="N444" s="69"/>
      <c r="O444" s="84" t="s">
        <v>654</v>
      </c>
      <c r="P444" s="84"/>
      <c r="Q444" s="84"/>
      <c r="R444" s="84"/>
      <c r="S444" s="84"/>
      <c r="T444" s="84"/>
      <c r="U444" s="84"/>
      <c r="V444" s="84" t="s">
        <v>1516</v>
      </c>
      <c r="W444" s="90" t="str">
        <f>HYPERLINK("https://www.youtube.com/watch?v=_wcT7nCe8ww")</f>
        <v>https://www.youtube.com/watch?v=_wcT7nCe8ww</v>
      </c>
      <c r="X444" s="84"/>
      <c r="Y444" s="84"/>
      <c r="Z444" s="84" t="s">
        <v>1800</v>
      </c>
      <c r="AA444" s="84"/>
      <c r="AB444" s="84"/>
      <c r="AC444" s="84"/>
      <c r="AD444" s="84"/>
      <c r="AE444">
        <v>1</v>
      </c>
      <c r="AF444" s="83" t="str">
        <f>REPLACE(INDEX(GroupVertices[Group],MATCH(Edges[[#This Row],[Vertex 1]],GroupVertices[Vertex],0)),1,1,"")</f>
        <v>6</v>
      </c>
      <c r="AG444" s="83" t="str">
        <f>REPLACE(INDEX(GroupVertices[Group],MATCH(Edges[[#This Row],[Vertex 2]],GroupVertices[Vertex],0)),1,1,"")</f>
        <v>6</v>
      </c>
      <c r="AH444" s="31"/>
      <c r="AI444" s="31"/>
      <c r="AJ444" s="31"/>
      <c r="AK444" s="31"/>
      <c r="AL444" s="31"/>
      <c r="AM444" s="31"/>
      <c r="AN444" s="31"/>
      <c r="AO444" s="31"/>
      <c r="AP444" s="31"/>
    </row>
    <row r="445" spans="1:42" ht="15">
      <c r="A445" s="61" t="s">
        <v>628</v>
      </c>
      <c r="B445" s="61" t="s">
        <v>629</v>
      </c>
      <c r="C445" s="62" t="s">
        <v>2892</v>
      </c>
      <c r="D445" s="63">
        <v>5.833333333333333</v>
      </c>
      <c r="E445" s="62"/>
      <c r="F445" s="65">
        <v>15</v>
      </c>
      <c r="G445" s="62"/>
      <c r="H445" s="66"/>
      <c r="I445" s="67"/>
      <c r="J445" s="67"/>
      <c r="K445" s="31" t="s">
        <v>65</v>
      </c>
      <c r="L445" s="68">
        <v>445</v>
      </c>
      <c r="M445" s="68"/>
      <c r="N445" s="69"/>
      <c r="O445" s="84" t="s">
        <v>653</v>
      </c>
      <c r="P445" s="84" t="s">
        <v>215</v>
      </c>
      <c r="Q445" s="88" t="s">
        <v>1059</v>
      </c>
      <c r="R445" s="84" t="s">
        <v>628</v>
      </c>
      <c r="S445" s="84" t="s">
        <v>1447</v>
      </c>
      <c r="T445" s="90" t="str">
        <f>HYPERLINK("http://www.youtube.com/channel/UCtJgK9To6IOyPvAjNlqNBfg")</f>
        <v>http://www.youtube.com/channel/UCtJgK9To6IOyPvAjNlqNBfg</v>
      </c>
      <c r="U445" s="84"/>
      <c r="V445" s="84" t="s">
        <v>1464</v>
      </c>
      <c r="W445" s="90" t="str">
        <f>HYPERLINK("https://www.youtube.com/watch?v=fpr5R_NcvJE")</f>
        <v>https://www.youtube.com/watch?v=fpr5R_NcvJE</v>
      </c>
      <c r="X445" s="84" t="s">
        <v>1537</v>
      </c>
      <c r="Y445" s="84">
        <v>0</v>
      </c>
      <c r="Z445" s="93">
        <v>44776.37396990741</v>
      </c>
      <c r="AA445" s="93">
        <v>44776.37396990741</v>
      </c>
      <c r="AB445" s="84"/>
      <c r="AC445" s="84"/>
      <c r="AD445" s="88" t="s">
        <v>1874</v>
      </c>
      <c r="AE445" s="86">
        <v>2</v>
      </c>
      <c r="AF445" s="87" t="str">
        <f>REPLACE(INDEX(GroupVertices[Group],MATCH(Edges[[#This Row],[Vertex 1]],GroupVertices[Vertex],0)),1,1,"")</f>
        <v>9</v>
      </c>
      <c r="AG445" s="87" t="str">
        <f>REPLACE(INDEX(GroupVertices[Group],MATCH(Edges[[#This Row],[Vertex 2]],GroupVertices[Vertex],0)),1,1,"")</f>
        <v>9</v>
      </c>
      <c r="AH445" s="105"/>
      <c r="AI445" s="105"/>
      <c r="AJ445" s="105"/>
      <c r="AK445" s="105"/>
      <c r="AL445" s="105"/>
      <c r="AM445" s="105"/>
      <c r="AN445" s="105"/>
      <c r="AO445" s="105"/>
      <c r="AP445" s="105"/>
    </row>
    <row r="446" spans="1:42" ht="15">
      <c r="A446" s="61" t="s">
        <v>628</v>
      </c>
      <c r="B446" s="61" t="s">
        <v>629</v>
      </c>
      <c r="C446" s="62" t="s">
        <v>2892</v>
      </c>
      <c r="D446" s="63">
        <v>5.833333333333333</v>
      </c>
      <c r="E446" s="62"/>
      <c r="F446" s="65">
        <v>15</v>
      </c>
      <c r="G446" s="62"/>
      <c r="H446" s="66"/>
      <c r="I446" s="67"/>
      <c r="J446" s="67"/>
      <c r="K446" s="31" t="s">
        <v>65</v>
      </c>
      <c r="L446" s="68">
        <v>446</v>
      </c>
      <c r="M446" s="68"/>
      <c r="N446" s="69"/>
      <c r="O446" s="84" t="s">
        <v>653</v>
      </c>
      <c r="P446" s="84" t="s">
        <v>215</v>
      </c>
      <c r="Q446" s="88" t="s">
        <v>1060</v>
      </c>
      <c r="R446" s="84" t="s">
        <v>628</v>
      </c>
      <c r="S446" s="84" t="s">
        <v>1447</v>
      </c>
      <c r="T446" s="90" t="str">
        <f>HYPERLINK("http://www.youtube.com/channel/UCtJgK9To6IOyPvAjNlqNBfg")</f>
        <v>http://www.youtube.com/channel/UCtJgK9To6IOyPvAjNlqNBfg</v>
      </c>
      <c r="U446" s="84"/>
      <c r="V446" s="84" t="s">
        <v>1464</v>
      </c>
      <c r="W446" s="90" t="str">
        <f>HYPERLINK("https://www.youtube.com/watch?v=fpr5R_NcvJE")</f>
        <v>https://www.youtube.com/watch?v=fpr5R_NcvJE</v>
      </c>
      <c r="X446" s="84" t="s">
        <v>1537</v>
      </c>
      <c r="Y446" s="84">
        <v>0</v>
      </c>
      <c r="Z446" s="84" t="s">
        <v>1801</v>
      </c>
      <c r="AA446" s="84" t="s">
        <v>1801</v>
      </c>
      <c r="AB446" s="84"/>
      <c r="AC446" s="84"/>
      <c r="AD446" s="88" t="s">
        <v>1874</v>
      </c>
      <c r="AE446" s="86">
        <v>2</v>
      </c>
      <c r="AF446" s="87" t="str">
        <f>REPLACE(INDEX(GroupVertices[Group],MATCH(Edges[[#This Row],[Vertex 1]],GroupVertices[Vertex],0)),1,1,"")</f>
        <v>9</v>
      </c>
      <c r="AG446" s="87" t="str">
        <f>REPLACE(INDEX(GroupVertices[Group],MATCH(Edges[[#This Row],[Vertex 2]],GroupVertices[Vertex],0)),1,1,"")</f>
        <v>9</v>
      </c>
      <c r="AH446" s="105"/>
      <c r="AI446" s="105"/>
      <c r="AJ446" s="105"/>
      <c r="AK446" s="105"/>
      <c r="AL446" s="105"/>
      <c r="AM446" s="105"/>
      <c r="AN446" s="105"/>
      <c r="AO446" s="105"/>
      <c r="AP446" s="105"/>
    </row>
    <row r="447" spans="1:42" ht="15">
      <c r="A447" s="61" t="s">
        <v>629</v>
      </c>
      <c r="B447" s="61" t="s">
        <v>629</v>
      </c>
      <c r="C447" s="62" t="s">
        <v>2891</v>
      </c>
      <c r="D447" s="63">
        <v>5</v>
      </c>
      <c r="E447" s="62"/>
      <c r="F447" s="65">
        <v>25</v>
      </c>
      <c r="G447" s="62"/>
      <c r="H447" s="66"/>
      <c r="I447" s="67"/>
      <c r="J447" s="67"/>
      <c r="K447" s="31" t="s">
        <v>65</v>
      </c>
      <c r="L447" s="68">
        <v>447</v>
      </c>
      <c r="M447" s="68"/>
      <c r="N447" s="69"/>
      <c r="O447" s="84" t="s">
        <v>654</v>
      </c>
      <c r="P447" s="84"/>
      <c r="Q447" s="84"/>
      <c r="R447" s="84"/>
      <c r="S447" s="84"/>
      <c r="T447" s="84"/>
      <c r="U447" s="84"/>
      <c r="V447" s="84" t="s">
        <v>1464</v>
      </c>
      <c r="W447" s="90" t="str">
        <f>HYPERLINK("https://www.youtube.com/watch?v=fpr5R_NcvJE")</f>
        <v>https://www.youtube.com/watch?v=fpr5R_NcvJE</v>
      </c>
      <c r="X447" s="84"/>
      <c r="Y447" s="84"/>
      <c r="Z447" s="93">
        <v>44898.62517361111</v>
      </c>
      <c r="AA447" s="84"/>
      <c r="AB447" s="84"/>
      <c r="AC447" s="84"/>
      <c r="AD447" s="84"/>
      <c r="AE447">
        <v>1</v>
      </c>
      <c r="AF447" s="83" t="str">
        <f>REPLACE(INDEX(GroupVertices[Group],MATCH(Edges[[#This Row],[Vertex 1]],GroupVertices[Vertex],0)),1,1,"")</f>
        <v>9</v>
      </c>
      <c r="AG447" s="83" t="str">
        <f>REPLACE(INDEX(GroupVertices[Group],MATCH(Edges[[#This Row],[Vertex 2]],GroupVertices[Vertex],0)),1,1,"")</f>
        <v>9</v>
      </c>
      <c r="AH447" s="31"/>
      <c r="AI447" s="31"/>
      <c r="AJ447" s="31"/>
      <c r="AK447" s="31"/>
      <c r="AL447" s="31"/>
      <c r="AM447" s="31"/>
      <c r="AN447" s="31"/>
      <c r="AO447" s="31"/>
      <c r="AP447" s="31"/>
    </row>
    <row r="448" spans="1:42" ht="15">
      <c r="A448" s="61" t="s">
        <v>630</v>
      </c>
      <c r="B448" s="61" t="s">
        <v>630</v>
      </c>
      <c r="C448" s="62" t="s">
        <v>2892</v>
      </c>
      <c r="D448" s="63">
        <v>6.666666666666667</v>
      </c>
      <c r="E448" s="62"/>
      <c r="F448" s="65">
        <v>15</v>
      </c>
      <c r="G448" s="62"/>
      <c r="H448" s="66"/>
      <c r="I448" s="67"/>
      <c r="J448" s="67"/>
      <c r="K448" s="31" t="s">
        <v>65</v>
      </c>
      <c r="L448" s="68">
        <v>448</v>
      </c>
      <c r="M448" s="68"/>
      <c r="N448" s="69"/>
      <c r="O448" s="84" t="s">
        <v>654</v>
      </c>
      <c r="P448" s="84"/>
      <c r="Q448" s="84"/>
      <c r="R448" s="84"/>
      <c r="S448" s="84"/>
      <c r="T448" s="84"/>
      <c r="U448" s="84"/>
      <c r="V448" s="84" t="s">
        <v>1452</v>
      </c>
      <c r="W448" s="90" t="str">
        <f>HYPERLINK("https://www.youtube.com/watch?v=SVs7wMOdOQk")</f>
        <v>https://www.youtube.com/watch?v=SVs7wMOdOQk</v>
      </c>
      <c r="X448" s="84"/>
      <c r="Y448" s="84"/>
      <c r="Z448" s="93">
        <v>43048.010659722226</v>
      </c>
      <c r="AA448" s="84"/>
      <c r="AB448" s="84"/>
      <c r="AC448" s="84"/>
      <c r="AD448" s="84"/>
      <c r="AE448">
        <v>3</v>
      </c>
      <c r="AF448" s="83" t="str">
        <f>REPLACE(INDEX(GroupVertices[Group],MATCH(Edges[[#This Row],[Vertex 1]],GroupVertices[Vertex],0)),1,1,"")</f>
        <v>5</v>
      </c>
      <c r="AG448" s="83" t="str">
        <f>REPLACE(INDEX(GroupVertices[Group],MATCH(Edges[[#This Row],[Vertex 2]],GroupVertices[Vertex],0)),1,1,"")</f>
        <v>5</v>
      </c>
      <c r="AH448" s="31"/>
      <c r="AI448" s="31"/>
      <c r="AJ448" s="31"/>
      <c r="AK448" s="31"/>
      <c r="AL448" s="31"/>
      <c r="AM448" s="31"/>
      <c r="AN448" s="31"/>
      <c r="AO448" s="31"/>
      <c r="AP448" s="31"/>
    </row>
    <row r="449" spans="1:42" ht="15">
      <c r="A449" s="61" t="s">
        <v>630</v>
      </c>
      <c r="B449" s="61" t="s">
        <v>630</v>
      </c>
      <c r="C449" s="62" t="s">
        <v>2892</v>
      </c>
      <c r="D449" s="63">
        <v>6.666666666666667</v>
      </c>
      <c r="E449" s="62"/>
      <c r="F449" s="65">
        <v>15</v>
      </c>
      <c r="G449" s="62"/>
      <c r="H449" s="66"/>
      <c r="I449" s="67"/>
      <c r="J449" s="67"/>
      <c r="K449" s="31" t="s">
        <v>65</v>
      </c>
      <c r="L449" s="68">
        <v>449</v>
      </c>
      <c r="M449" s="68"/>
      <c r="N449" s="69"/>
      <c r="O449" s="84" t="s">
        <v>654</v>
      </c>
      <c r="P449" s="84"/>
      <c r="Q449" s="84"/>
      <c r="R449" s="84"/>
      <c r="S449" s="84"/>
      <c r="T449" s="84"/>
      <c r="U449" s="84"/>
      <c r="V449" s="84" t="s">
        <v>1455</v>
      </c>
      <c r="W449" s="90" t="str">
        <f>HYPERLINK("https://www.youtube.com/watch?v=_4u8DyaykXI")</f>
        <v>https://www.youtube.com/watch?v=_4u8DyaykXI</v>
      </c>
      <c r="X449" s="84"/>
      <c r="Y449" s="84"/>
      <c r="Z449" s="93">
        <v>42803.99994212963</v>
      </c>
      <c r="AA449" s="84"/>
      <c r="AB449" s="84"/>
      <c r="AC449" s="84"/>
      <c r="AD449" s="84"/>
      <c r="AE449">
        <v>3</v>
      </c>
      <c r="AF449" s="83" t="str">
        <f>REPLACE(INDEX(GroupVertices[Group],MATCH(Edges[[#This Row],[Vertex 1]],GroupVertices[Vertex],0)),1,1,"")</f>
        <v>5</v>
      </c>
      <c r="AG449" s="83" t="str">
        <f>REPLACE(INDEX(GroupVertices[Group],MATCH(Edges[[#This Row],[Vertex 2]],GroupVertices[Vertex],0)),1,1,"")</f>
        <v>5</v>
      </c>
      <c r="AH449" s="31"/>
      <c r="AI449" s="31"/>
      <c r="AJ449" s="31"/>
      <c r="AK449" s="31"/>
      <c r="AL449" s="31"/>
      <c r="AM449" s="31"/>
      <c r="AN449" s="31"/>
      <c r="AO449" s="31"/>
      <c r="AP449" s="31"/>
    </row>
    <row r="450" spans="1:42" ht="15">
      <c r="A450" s="61" t="s">
        <v>630</v>
      </c>
      <c r="B450" s="61" t="s">
        <v>630</v>
      </c>
      <c r="C450" s="62" t="s">
        <v>2892</v>
      </c>
      <c r="D450" s="63">
        <v>6.666666666666667</v>
      </c>
      <c r="E450" s="62"/>
      <c r="F450" s="65">
        <v>15</v>
      </c>
      <c r="G450" s="62"/>
      <c r="H450" s="66"/>
      <c r="I450" s="67"/>
      <c r="J450" s="67"/>
      <c r="K450" s="31" t="s">
        <v>65</v>
      </c>
      <c r="L450" s="68">
        <v>450</v>
      </c>
      <c r="M450" s="68"/>
      <c r="N450" s="69"/>
      <c r="O450" s="84" t="s">
        <v>654</v>
      </c>
      <c r="P450" s="84"/>
      <c r="Q450" s="84"/>
      <c r="R450" s="84"/>
      <c r="S450" s="84"/>
      <c r="T450" s="84"/>
      <c r="U450" s="84"/>
      <c r="V450" s="84" t="s">
        <v>1465</v>
      </c>
      <c r="W450" s="90" t="str">
        <f>HYPERLINK("https://www.youtube.com/watch?v=rMSUji0aN-k")</f>
        <v>https://www.youtube.com/watch?v=rMSUji0aN-k</v>
      </c>
      <c r="X450" s="84"/>
      <c r="Y450" s="84"/>
      <c r="Z450" s="84" t="s">
        <v>1802</v>
      </c>
      <c r="AA450" s="84"/>
      <c r="AB450" s="84"/>
      <c r="AC450" s="84"/>
      <c r="AD450" s="84"/>
      <c r="AE450">
        <v>3</v>
      </c>
      <c r="AF450" s="83" t="str">
        <f>REPLACE(INDEX(GroupVertices[Group],MATCH(Edges[[#This Row],[Vertex 1]],GroupVertices[Vertex],0)),1,1,"")</f>
        <v>5</v>
      </c>
      <c r="AG450" s="83" t="str">
        <f>REPLACE(INDEX(GroupVertices[Group],MATCH(Edges[[#This Row],[Vertex 2]],GroupVertices[Vertex],0)),1,1,"")</f>
        <v>5</v>
      </c>
      <c r="AH450" s="31"/>
      <c r="AI450" s="31"/>
      <c r="AJ450" s="31"/>
      <c r="AK450" s="31"/>
      <c r="AL450" s="31"/>
      <c r="AM450" s="31"/>
      <c r="AN450" s="31"/>
      <c r="AO450" s="31"/>
      <c r="AP450" s="31"/>
    </row>
    <row r="451" spans="1:42" ht="15">
      <c r="A451" s="61" t="s">
        <v>631</v>
      </c>
      <c r="B451" s="61" t="s">
        <v>631</v>
      </c>
      <c r="C451" s="62" t="s">
        <v>2892</v>
      </c>
      <c r="D451" s="63">
        <v>7.5</v>
      </c>
      <c r="E451" s="62"/>
      <c r="F451" s="65">
        <v>15</v>
      </c>
      <c r="G451" s="62"/>
      <c r="H451" s="66"/>
      <c r="I451" s="67"/>
      <c r="J451" s="67"/>
      <c r="K451" s="31" t="s">
        <v>65</v>
      </c>
      <c r="L451" s="68">
        <v>451</v>
      </c>
      <c r="M451" s="68"/>
      <c r="N451" s="69"/>
      <c r="O451" s="84" t="s">
        <v>654</v>
      </c>
      <c r="P451" s="84"/>
      <c r="Q451" s="84"/>
      <c r="R451" s="84"/>
      <c r="S451" s="84"/>
      <c r="T451" s="84"/>
      <c r="U451" s="84"/>
      <c r="V451" s="84" t="s">
        <v>1517</v>
      </c>
      <c r="W451" s="90" t="str">
        <f>HYPERLINK("https://www.youtube.com/watch?v=44LphFzIXzI")</f>
        <v>https://www.youtube.com/watch?v=44LphFzIXzI</v>
      </c>
      <c r="X451" s="84"/>
      <c r="Y451" s="84"/>
      <c r="Z451" s="84" t="s">
        <v>1803</v>
      </c>
      <c r="AA451" s="84"/>
      <c r="AB451" s="84"/>
      <c r="AC451" s="84"/>
      <c r="AD451" s="84"/>
      <c r="AE451">
        <v>4</v>
      </c>
      <c r="AF451" s="83" t="str">
        <f>REPLACE(INDEX(GroupVertices[Group],MATCH(Edges[[#This Row],[Vertex 1]],GroupVertices[Vertex],0)),1,1,"")</f>
        <v>14</v>
      </c>
      <c r="AG451" s="83" t="str">
        <f>REPLACE(INDEX(GroupVertices[Group],MATCH(Edges[[#This Row],[Vertex 2]],GroupVertices[Vertex],0)),1,1,"")</f>
        <v>14</v>
      </c>
      <c r="AH451" s="31"/>
      <c r="AI451" s="31"/>
      <c r="AJ451" s="31"/>
      <c r="AK451" s="31"/>
      <c r="AL451" s="31"/>
      <c r="AM451" s="31"/>
      <c r="AN451" s="31"/>
      <c r="AO451" s="31"/>
      <c r="AP451" s="31"/>
    </row>
    <row r="452" spans="1:42" ht="15">
      <c r="A452" s="61" t="s">
        <v>631</v>
      </c>
      <c r="B452" s="61" t="s">
        <v>631</v>
      </c>
      <c r="C452" s="62" t="s">
        <v>2892</v>
      </c>
      <c r="D452" s="63">
        <v>7.5</v>
      </c>
      <c r="E452" s="62"/>
      <c r="F452" s="65">
        <v>15</v>
      </c>
      <c r="G452" s="62"/>
      <c r="H452" s="66"/>
      <c r="I452" s="67"/>
      <c r="J452" s="67"/>
      <c r="K452" s="31" t="s">
        <v>65</v>
      </c>
      <c r="L452" s="68">
        <v>452</v>
      </c>
      <c r="M452" s="68"/>
      <c r="N452" s="69"/>
      <c r="O452" s="84" t="s">
        <v>654</v>
      </c>
      <c r="P452" s="84"/>
      <c r="Q452" s="84"/>
      <c r="R452" s="84"/>
      <c r="S452" s="84"/>
      <c r="T452" s="84"/>
      <c r="U452" s="84"/>
      <c r="V452" s="84" t="s">
        <v>1463</v>
      </c>
      <c r="W452" s="90" t="str">
        <f>HYPERLINK("https://www.youtube.com/watch?v=b-QemxdVhCY")</f>
        <v>https://www.youtube.com/watch?v=b-QemxdVhCY</v>
      </c>
      <c r="X452" s="84"/>
      <c r="Y452" s="84"/>
      <c r="Z452" s="84" t="s">
        <v>1804</v>
      </c>
      <c r="AA452" s="84"/>
      <c r="AB452" s="84"/>
      <c r="AC452" s="84"/>
      <c r="AD452" s="84"/>
      <c r="AE452">
        <v>4</v>
      </c>
      <c r="AF452" s="83" t="str">
        <f>REPLACE(INDEX(GroupVertices[Group],MATCH(Edges[[#This Row],[Vertex 1]],GroupVertices[Vertex],0)),1,1,"")</f>
        <v>14</v>
      </c>
      <c r="AG452" s="83" t="str">
        <f>REPLACE(INDEX(GroupVertices[Group],MATCH(Edges[[#This Row],[Vertex 2]],GroupVertices[Vertex],0)),1,1,"")</f>
        <v>14</v>
      </c>
      <c r="AH452" s="31"/>
      <c r="AI452" s="31"/>
      <c r="AJ452" s="31"/>
      <c r="AK452" s="31"/>
      <c r="AL452" s="31"/>
      <c r="AM452" s="31"/>
      <c r="AN452" s="31"/>
      <c r="AO452" s="31"/>
      <c r="AP452" s="31"/>
    </row>
    <row r="453" spans="1:42" ht="15">
      <c r="A453" s="61" t="s">
        <v>631</v>
      </c>
      <c r="B453" s="61" t="s">
        <v>631</v>
      </c>
      <c r="C453" s="62" t="s">
        <v>2892</v>
      </c>
      <c r="D453" s="63">
        <v>7.5</v>
      </c>
      <c r="E453" s="62"/>
      <c r="F453" s="65">
        <v>15</v>
      </c>
      <c r="G453" s="62"/>
      <c r="H453" s="66"/>
      <c r="I453" s="67"/>
      <c r="J453" s="67"/>
      <c r="K453" s="31" t="s">
        <v>65</v>
      </c>
      <c r="L453" s="68">
        <v>453</v>
      </c>
      <c r="M453" s="68"/>
      <c r="N453" s="69"/>
      <c r="O453" s="84" t="s">
        <v>654</v>
      </c>
      <c r="P453" s="84"/>
      <c r="Q453" s="84"/>
      <c r="R453" s="84"/>
      <c r="S453" s="84"/>
      <c r="T453" s="84"/>
      <c r="U453" s="84"/>
      <c r="V453" s="84" t="s">
        <v>1466</v>
      </c>
      <c r="W453" s="90" t="str">
        <f>HYPERLINK("https://www.youtube.com/watch?v=HipO6JFo3Jw")</f>
        <v>https://www.youtube.com/watch?v=HipO6JFo3Jw</v>
      </c>
      <c r="X453" s="84"/>
      <c r="Y453" s="84"/>
      <c r="Z453" s="84" t="s">
        <v>1805</v>
      </c>
      <c r="AA453" s="84"/>
      <c r="AB453" s="84"/>
      <c r="AC453" s="84"/>
      <c r="AD453" s="84"/>
      <c r="AE453">
        <v>4</v>
      </c>
      <c r="AF453" s="83" t="str">
        <f>REPLACE(INDEX(GroupVertices[Group],MATCH(Edges[[#This Row],[Vertex 1]],GroupVertices[Vertex],0)),1,1,"")</f>
        <v>14</v>
      </c>
      <c r="AG453" s="83" t="str">
        <f>REPLACE(INDEX(GroupVertices[Group],MATCH(Edges[[#This Row],[Vertex 2]],GroupVertices[Vertex],0)),1,1,"")</f>
        <v>14</v>
      </c>
      <c r="AH453" s="31"/>
      <c r="AI453" s="31"/>
      <c r="AJ453" s="31"/>
      <c r="AK453" s="31"/>
      <c r="AL453" s="31"/>
      <c r="AM453" s="31"/>
      <c r="AN453" s="31"/>
      <c r="AO453" s="31"/>
      <c r="AP453" s="31"/>
    </row>
    <row r="454" spans="1:42" ht="15">
      <c r="A454" s="61" t="s">
        <v>631</v>
      </c>
      <c r="B454" s="61" t="s">
        <v>631</v>
      </c>
      <c r="C454" s="62" t="s">
        <v>2892</v>
      </c>
      <c r="D454" s="63">
        <v>7.5</v>
      </c>
      <c r="E454" s="62"/>
      <c r="F454" s="65">
        <v>15</v>
      </c>
      <c r="G454" s="62"/>
      <c r="H454" s="66"/>
      <c r="I454" s="67"/>
      <c r="J454" s="67"/>
      <c r="K454" s="31" t="s">
        <v>65</v>
      </c>
      <c r="L454" s="68">
        <v>454</v>
      </c>
      <c r="M454" s="68"/>
      <c r="N454" s="69"/>
      <c r="O454" s="84" t="s">
        <v>654</v>
      </c>
      <c r="P454" s="84"/>
      <c r="Q454" s="84"/>
      <c r="R454" s="84"/>
      <c r="S454" s="84"/>
      <c r="T454" s="84"/>
      <c r="U454" s="84"/>
      <c r="V454" s="84" t="s">
        <v>1518</v>
      </c>
      <c r="W454" s="90" t="str">
        <f>HYPERLINK("https://www.youtube.com/watch?v=IE4qSl3XBAI")</f>
        <v>https://www.youtube.com/watch?v=IE4qSl3XBAI</v>
      </c>
      <c r="X454" s="84"/>
      <c r="Y454" s="84"/>
      <c r="Z454" s="93">
        <v>44963.6274537037</v>
      </c>
      <c r="AA454" s="84"/>
      <c r="AB454" s="84"/>
      <c r="AC454" s="84"/>
      <c r="AD454" s="84"/>
      <c r="AE454">
        <v>4</v>
      </c>
      <c r="AF454" s="83" t="str">
        <f>REPLACE(INDEX(GroupVertices[Group],MATCH(Edges[[#This Row],[Vertex 1]],GroupVertices[Vertex],0)),1,1,"")</f>
        <v>14</v>
      </c>
      <c r="AG454" s="83" t="str">
        <f>REPLACE(INDEX(GroupVertices[Group],MATCH(Edges[[#This Row],[Vertex 2]],GroupVertices[Vertex],0)),1,1,"")</f>
        <v>14</v>
      </c>
      <c r="AH454" s="31"/>
      <c r="AI454" s="31"/>
      <c r="AJ454" s="31"/>
      <c r="AK454" s="31"/>
      <c r="AL454" s="31"/>
      <c r="AM454" s="31"/>
      <c r="AN454" s="31"/>
      <c r="AO454" s="31"/>
      <c r="AP454" s="31"/>
    </row>
    <row r="455" spans="1:42" ht="15">
      <c r="A455" s="61" t="s">
        <v>632</v>
      </c>
      <c r="B455" s="61" t="s">
        <v>632</v>
      </c>
      <c r="C455" s="62" t="s">
        <v>2891</v>
      </c>
      <c r="D455" s="63">
        <v>5</v>
      </c>
      <c r="E455" s="62"/>
      <c r="F455" s="65">
        <v>25</v>
      </c>
      <c r="G455" s="62"/>
      <c r="H455" s="66"/>
      <c r="I455" s="67"/>
      <c r="J455" s="67"/>
      <c r="K455" s="31" t="s">
        <v>65</v>
      </c>
      <c r="L455" s="68">
        <v>455</v>
      </c>
      <c r="M455" s="68"/>
      <c r="N455" s="69"/>
      <c r="O455" s="84" t="s">
        <v>654</v>
      </c>
      <c r="P455" s="84"/>
      <c r="Q455" s="84"/>
      <c r="R455" s="84"/>
      <c r="S455" s="84"/>
      <c r="T455" s="84"/>
      <c r="U455" s="84"/>
      <c r="V455" s="84" t="s">
        <v>1519</v>
      </c>
      <c r="W455" s="90" t="str">
        <f>HYPERLINK("https://www.youtube.com/watch?v=BaD_XEBZvyo")</f>
        <v>https://www.youtube.com/watch?v=BaD_XEBZvyo</v>
      </c>
      <c r="X455" s="84"/>
      <c r="Y455" s="84"/>
      <c r="Z455" s="84" t="s">
        <v>1806</v>
      </c>
      <c r="AA455" s="84"/>
      <c r="AB455" s="84"/>
      <c r="AC455" s="84"/>
      <c r="AD455" s="84"/>
      <c r="AE455">
        <v>1</v>
      </c>
      <c r="AF455" s="83" t="str">
        <f>REPLACE(INDEX(GroupVertices[Group],MATCH(Edges[[#This Row],[Vertex 1]],GroupVertices[Vertex],0)),1,1,"")</f>
        <v>6</v>
      </c>
      <c r="AG455" s="83" t="str">
        <f>REPLACE(INDEX(GroupVertices[Group],MATCH(Edges[[#This Row],[Vertex 2]],GroupVertices[Vertex],0)),1,1,"")</f>
        <v>6</v>
      </c>
      <c r="AH455" s="31"/>
      <c r="AI455" s="31"/>
      <c r="AJ455" s="31"/>
      <c r="AK455" s="31"/>
      <c r="AL455" s="31"/>
      <c r="AM455" s="31"/>
      <c r="AN455" s="31"/>
      <c r="AO455" s="31"/>
      <c r="AP455" s="31"/>
    </row>
    <row r="456" spans="1:42" ht="15">
      <c r="A456" s="61" t="s">
        <v>633</v>
      </c>
      <c r="B456" s="61" t="s">
        <v>633</v>
      </c>
      <c r="C456" s="62" t="s">
        <v>2892</v>
      </c>
      <c r="D456" s="63">
        <v>5.833333333333333</v>
      </c>
      <c r="E456" s="62"/>
      <c r="F456" s="65">
        <v>15</v>
      </c>
      <c r="G456" s="62"/>
      <c r="H456" s="66"/>
      <c r="I456" s="67"/>
      <c r="J456" s="67"/>
      <c r="K456" s="31" t="s">
        <v>65</v>
      </c>
      <c r="L456" s="68">
        <v>456</v>
      </c>
      <c r="M456" s="68"/>
      <c r="N456" s="69"/>
      <c r="O456" s="84" t="s">
        <v>653</v>
      </c>
      <c r="P456" s="84" t="s">
        <v>215</v>
      </c>
      <c r="Q456" s="88" t="s">
        <v>1061</v>
      </c>
      <c r="R456" s="84" t="s">
        <v>633</v>
      </c>
      <c r="S456" s="84" t="s">
        <v>1448</v>
      </c>
      <c r="T456" s="90" t="str">
        <f>HYPERLINK("http://www.youtube.com/channel/UCunj_6U81_ZQF6f8d5WI_lg")</f>
        <v>http://www.youtube.com/channel/UCunj_6U81_ZQF6f8d5WI_lg</v>
      </c>
      <c r="U456" s="84"/>
      <c r="V456" s="84" t="s">
        <v>1520</v>
      </c>
      <c r="W456" s="90" t="str">
        <f>HYPERLINK("https://www.youtube.com/watch?v=afMgT14PQYI")</f>
        <v>https://www.youtube.com/watch?v=afMgT14PQYI</v>
      </c>
      <c r="X456" s="84" t="s">
        <v>1537</v>
      </c>
      <c r="Y456" s="84">
        <v>4</v>
      </c>
      <c r="Z456" s="84" t="s">
        <v>1807</v>
      </c>
      <c r="AA456" s="84" t="s">
        <v>1807</v>
      </c>
      <c r="AB456" s="84"/>
      <c r="AC456" s="84"/>
      <c r="AD456" s="88" t="s">
        <v>1874</v>
      </c>
      <c r="AE456" s="86">
        <v>2</v>
      </c>
      <c r="AF456" s="87" t="str">
        <f>REPLACE(INDEX(GroupVertices[Group],MATCH(Edges[[#This Row],[Vertex 1]],GroupVertices[Vertex],0)),1,1,"")</f>
        <v>17</v>
      </c>
      <c r="AG456" s="87" t="str">
        <f>REPLACE(INDEX(GroupVertices[Group],MATCH(Edges[[#This Row],[Vertex 2]],GroupVertices[Vertex],0)),1,1,"")</f>
        <v>17</v>
      </c>
      <c r="AH456" s="105"/>
      <c r="AI456" s="105"/>
      <c r="AJ456" s="105"/>
      <c r="AK456" s="105"/>
      <c r="AL456" s="105"/>
      <c r="AM456" s="105"/>
      <c r="AN456" s="105"/>
      <c r="AO456" s="105"/>
      <c r="AP456" s="105"/>
    </row>
    <row r="457" spans="1:42" ht="15">
      <c r="A457" s="61" t="s">
        <v>633</v>
      </c>
      <c r="B457" s="61" t="s">
        <v>633</v>
      </c>
      <c r="C457" s="62" t="s">
        <v>2892</v>
      </c>
      <c r="D457" s="63">
        <v>5.833333333333333</v>
      </c>
      <c r="E457" s="62"/>
      <c r="F457" s="65">
        <v>15</v>
      </c>
      <c r="G457" s="62"/>
      <c r="H457" s="66"/>
      <c r="I457" s="67"/>
      <c r="J457" s="67"/>
      <c r="K457" s="31" t="s">
        <v>65</v>
      </c>
      <c r="L457" s="68">
        <v>457</v>
      </c>
      <c r="M457" s="68"/>
      <c r="N457" s="69"/>
      <c r="O457" s="84" t="s">
        <v>653</v>
      </c>
      <c r="P457" s="84" t="s">
        <v>215</v>
      </c>
      <c r="Q457" s="88" t="s">
        <v>1062</v>
      </c>
      <c r="R457" s="84" t="s">
        <v>633</v>
      </c>
      <c r="S457" s="84" t="s">
        <v>1448</v>
      </c>
      <c r="T457" s="90" t="str">
        <f>HYPERLINK("http://www.youtube.com/channel/UCunj_6U81_ZQF6f8d5WI_lg")</f>
        <v>http://www.youtube.com/channel/UCunj_6U81_ZQF6f8d5WI_lg</v>
      </c>
      <c r="U457" s="84"/>
      <c r="V457" s="84" t="s">
        <v>1470</v>
      </c>
      <c r="W457" s="90" t="str">
        <f>HYPERLINK("https://www.youtube.com/watch?v=Zca2pBScnF8")</f>
        <v>https://www.youtube.com/watch?v=Zca2pBScnF8</v>
      </c>
      <c r="X457" s="84" t="s">
        <v>1537</v>
      </c>
      <c r="Y457" s="84">
        <v>1</v>
      </c>
      <c r="Z457" s="84" t="s">
        <v>1808</v>
      </c>
      <c r="AA457" s="84" t="s">
        <v>1808</v>
      </c>
      <c r="AB457" s="84"/>
      <c r="AC457" s="84"/>
      <c r="AD457" s="88" t="s">
        <v>1874</v>
      </c>
      <c r="AE457" s="86">
        <v>2</v>
      </c>
      <c r="AF457" s="87" t="str">
        <f>REPLACE(INDEX(GroupVertices[Group],MATCH(Edges[[#This Row],[Vertex 1]],GroupVertices[Vertex],0)),1,1,"")</f>
        <v>17</v>
      </c>
      <c r="AG457" s="87" t="str">
        <f>REPLACE(INDEX(GroupVertices[Group],MATCH(Edges[[#This Row],[Vertex 2]],GroupVertices[Vertex],0)),1,1,"")</f>
        <v>17</v>
      </c>
      <c r="AH457" s="105"/>
      <c r="AI457" s="105"/>
      <c r="AJ457" s="105"/>
      <c r="AK457" s="105"/>
      <c r="AL457" s="105"/>
      <c r="AM457" s="105"/>
      <c r="AN457" s="105"/>
      <c r="AO457" s="105"/>
      <c r="AP457" s="105"/>
    </row>
    <row r="458" spans="1:42" ht="15">
      <c r="A458" s="61" t="s">
        <v>633</v>
      </c>
      <c r="B458" s="61" t="s">
        <v>633</v>
      </c>
      <c r="C458" s="62" t="s">
        <v>2892</v>
      </c>
      <c r="D458" s="63">
        <v>5.833333333333333</v>
      </c>
      <c r="E458" s="62"/>
      <c r="F458" s="65">
        <v>15</v>
      </c>
      <c r="G458" s="62"/>
      <c r="H458" s="66"/>
      <c r="I458" s="67"/>
      <c r="J458" s="67"/>
      <c r="K458" s="31" t="s">
        <v>65</v>
      </c>
      <c r="L458" s="68">
        <v>458</v>
      </c>
      <c r="M458" s="68"/>
      <c r="N458" s="69"/>
      <c r="O458" s="84" t="s">
        <v>654</v>
      </c>
      <c r="P458" s="84"/>
      <c r="Q458" s="84"/>
      <c r="R458" s="84"/>
      <c r="S458" s="84"/>
      <c r="T458" s="84"/>
      <c r="U458" s="84"/>
      <c r="V458" s="84" t="s">
        <v>1520</v>
      </c>
      <c r="W458" s="90" t="str">
        <f>HYPERLINK("https://www.youtube.com/watch?v=afMgT14PQYI")</f>
        <v>https://www.youtube.com/watch?v=afMgT14PQYI</v>
      </c>
      <c r="X458" s="84"/>
      <c r="Y458" s="84"/>
      <c r="Z458" s="84" t="s">
        <v>1809</v>
      </c>
      <c r="AA458" s="84"/>
      <c r="AB458" s="84"/>
      <c r="AC458" s="84"/>
      <c r="AD458" s="84"/>
      <c r="AE458">
        <v>2</v>
      </c>
      <c r="AF458" s="83" t="str">
        <f>REPLACE(INDEX(GroupVertices[Group],MATCH(Edges[[#This Row],[Vertex 1]],GroupVertices[Vertex],0)),1,1,"")</f>
        <v>17</v>
      </c>
      <c r="AG458" s="83" t="str">
        <f>REPLACE(INDEX(GroupVertices[Group],MATCH(Edges[[#This Row],[Vertex 2]],GroupVertices[Vertex],0)),1,1,"")</f>
        <v>17</v>
      </c>
      <c r="AH458" s="31"/>
      <c r="AI458" s="31"/>
      <c r="AJ458" s="31"/>
      <c r="AK458" s="31"/>
      <c r="AL458" s="31"/>
      <c r="AM458" s="31"/>
      <c r="AN458" s="31"/>
      <c r="AO458" s="31"/>
      <c r="AP458" s="31"/>
    </row>
    <row r="459" spans="1:42" ht="15">
      <c r="A459" s="61" t="s">
        <v>633</v>
      </c>
      <c r="B459" s="61" t="s">
        <v>633</v>
      </c>
      <c r="C459" s="62" t="s">
        <v>2892</v>
      </c>
      <c r="D459" s="63">
        <v>5.833333333333333</v>
      </c>
      <c r="E459" s="62"/>
      <c r="F459" s="65">
        <v>15</v>
      </c>
      <c r="G459" s="62"/>
      <c r="H459" s="66"/>
      <c r="I459" s="67"/>
      <c r="J459" s="67"/>
      <c r="K459" s="31" t="s">
        <v>65</v>
      </c>
      <c r="L459" s="68">
        <v>459</v>
      </c>
      <c r="M459" s="68"/>
      <c r="N459" s="69"/>
      <c r="O459" s="84" t="s">
        <v>654</v>
      </c>
      <c r="P459" s="84"/>
      <c r="Q459" s="84"/>
      <c r="R459" s="84"/>
      <c r="S459" s="84"/>
      <c r="T459" s="84"/>
      <c r="U459" s="84"/>
      <c r="V459" s="84" t="s">
        <v>1470</v>
      </c>
      <c r="W459" s="90" t="str">
        <f>HYPERLINK("https://www.youtube.com/watch?v=Zca2pBScnF8")</f>
        <v>https://www.youtube.com/watch?v=Zca2pBScnF8</v>
      </c>
      <c r="X459" s="84"/>
      <c r="Y459" s="84"/>
      <c r="Z459" s="84" t="s">
        <v>1810</v>
      </c>
      <c r="AA459" s="84"/>
      <c r="AB459" s="84"/>
      <c r="AC459" s="84"/>
      <c r="AD459" s="84"/>
      <c r="AE459">
        <v>2</v>
      </c>
      <c r="AF459" s="83" t="str">
        <f>REPLACE(INDEX(GroupVertices[Group],MATCH(Edges[[#This Row],[Vertex 1]],GroupVertices[Vertex],0)),1,1,"")</f>
        <v>17</v>
      </c>
      <c r="AG459" s="83" t="str">
        <f>REPLACE(INDEX(GroupVertices[Group],MATCH(Edges[[#This Row],[Vertex 2]],GroupVertices[Vertex],0)),1,1,"")</f>
        <v>17</v>
      </c>
      <c r="AH459" s="31"/>
      <c r="AI459" s="31"/>
      <c r="AJ459" s="31"/>
      <c r="AK459" s="31"/>
      <c r="AL459" s="31"/>
      <c r="AM459" s="31"/>
      <c r="AN459" s="31"/>
      <c r="AO459" s="31"/>
      <c r="AP459" s="31"/>
    </row>
    <row r="460" spans="1:42" ht="15">
      <c r="A460" s="61" t="s">
        <v>634</v>
      </c>
      <c r="B460" s="61" t="s">
        <v>634</v>
      </c>
      <c r="C460" s="62" t="s">
        <v>2891</v>
      </c>
      <c r="D460" s="63">
        <v>5</v>
      </c>
      <c r="E460" s="62"/>
      <c r="F460" s="65">
        <v>25</v>
      </c>
      <c r="G460" s="62"/>
      <c r="H460" s="66"/>
      <c r="I460" s="67"/>
      <c r="J460" s="67"/>
      <c r="K460" s="31" t="s">
        <v>65</v>
      </c>
      <c r="L460" s="68">
        <v>460</v>
      </c>
      <c r="M460" s="68"/>
      <c r="N460" s="69"/>
      <c r="O460" s="84" t="s">
        <v>654</v>
      </c>
      <c r="P460" s="84"/>
      <c r="Q460" s="84"/>
      <c r="R460" s="84"/>
      <c r="S460" s="84"/>
      <c r="T460" s="84"/>
      <c r="U460" s="84"/>
      <c r="V460" s="84" t="s">
        <v>1471</v>
      </c>
      <c r="W460" s="90" t="str">
        <f>HYPERLINK("https://www.youtube.com/watch?v=M3-wxNqzNcE")</f>
        <v>https://www.youtube.com/watch?v=M3-wxNqzNcE</v>
      </c>
      <c r="X460" s="84"/>
      <c r="Y460" s="84"/>
      <c r="Z460" s="84" t="s">
        <v>1811</v>
      </c>
      <c r="AA460" s="84"/>
      <c r="AB460" s="84"/>
      <c r="AC460" s="84"/>
      <c r="AD460" s="84"/>
      <c r="AE460">
        <v>1</v>
      </c>
      <c r="AF460" s="83" t="str">
        <f>REPLACE(INDEX(GroupVertices[Group],MATCH(Edges[[#This Row],[Vertex 1]],GroupVertices[Vertex],0)),1,1,"")</f>
        <v>21</v>
      </c>
      <c r="AG460" s="83" t="str">
        <f>REPLACE(INDEX(GroupVertices[Group],MATCH(Edges[[#This Row],[Vertex 2]],GroupVertices[Vertex],0)),1,1,"")</f>
        <v>21</v>
      </c>
      <c r="AH460" s="31"/>
      <c r="AI460" s="31"/>
      <c r="AJ460" s="31"/>
      <c r="AK460" s="31"/>
      <c r="AL460" s="31"/>
      <c r="AM460" s="31"/>
      <c r="AN460" s="31"/>
      <c r="AO460" s="31"/>
      <c r="AP460" s="31"/>
    </row>
    <row r="461" spans="1:42" ht="15">
      <c r="A461" s="61" t="s">
        <v>635</v>
      </c>
      <c r="B461" s="61" t="s">
        <v>635</v>
      </c>
      <c r="C461" s="62" t="s">
        <v>2892</v>
      </c>
      <c r="D461" s="63">
        <v>8.333333333333334</v>
      </c>
      <c r="E461" s="62"/>
      <c r="F461" s="65">
        <v>15</v>
      </c>
      <c r="G461" s="62"/>
      <c r="H461" s="66"/>
      <c r="I461" s="67"/>
      <c r="J461" s="67"/>
      <c r="K461" s="31" t="s">
        <v>65</v>
      </c>
      <c r="L461" s="68">
        <v>461</v>
      </c>
      <c r="M461" s="68"/>
      <c r="N461" s="69"/>
      <c r="O461" s="84" t="s">
        <v>654</v>
      </c>
      <c r="P461" s="84"/>
      <c r="Q461" s="84"/>
      <c r="R461" s="84"/>
      <c r="S461" s="84"/>
      <c r="T461" s="84"/>
      <c r="U461" s="84"/>
      <c r="V461" s="84" t="s">
        <v>1521</v>
      </c>
      <c r="W461" s="90" t="str">
        <f>HYPERLINK("https://www.youtube.com/watch?v=tpeVI0gz_ac")</f>
        <v>https://www.youtube.com/watch?v=tpeVI0gz_ac</v>
      </c>
      <c r="X461" s="84"/>
      <c r="Y461" s="84"/>
      <c r="Z461" s="93">
        <v>44022.452673611115</v>
      </c>
      <c r="AA461" s="84"/>
      <c r="AB461" s="84"/>
      <c r="AC461" s="84"/>
      <c r="AD461" s="84"/>
      <c r="AE461">
        <v>5</v>
      </c>
      <c r="AF461" s="83" t="str">
        <f>REPLACE(INDEX(GroupVertices[Group],MATCH(Edges[[#This Row],[Vertex 1]],GroupVertices[Vertex],0)),1,1,"")</f>
        <v>6</v>
      </c>
      <c r="AG461" s="83" t="str">
        <f>REPLACE(INDEX(GroupVertices[Group],MATCH(Edges[[#This Row],[Vertex 2]],GroupVertices[Vertex],0)),1,1,"")</f>
        <v>6</v>
      </c>
      <c r="AH461" s="31"/>
      <c r="AI461" s="31"/>
      <c r="AJ461" s="31"/>
      <c r="AK461" s="31"/>
      <c r="AL461" s="31"/>
      <c r="AM461" s="31"/>
      <c r="AN461" s="31"/>
      <c r="AO461" s="31"/>
      <c r="AP461" s="31"/>
    </row>
    <row r="462" spans="1:42" ht="15">
      <c r="A462" s="61" t="s">
        <v>635</v>
      </c>
      <c r="B462" s="61" t="s">
        <v>635</v>
      </c>
      <c r="C462" s="62" t="s">
        <v>2892</v>
      </c>
      <c r="D462" s="63">
        <v>8.333333333333334</v>
      </c>
      <c r="E462" s="62"/>
      <c r="F462" s="65">
        <v>15</v>
      </c>
      <c r="G462" s="62"/>
      <c r="H462" s="66"/>
      <c r="I462" s="67"/>
      <c r="J462" s="67"/>
      <c r="K462" s="31" t="s">
        <v>65</v>
      </c>
      <c r="L462" s="68">
        <v>462</v>
      </c>
      <c r="M462" s="68"/>
      <c r="N462" s="69"/>
      <c r="O462" s="84" t="s">
        <v>654</v>
      </c>
      <c r="P462" s="84"/>
      <c r="Q462" s="84"/>
      <c r="R462" s="84"/>
      <c r="S462" s="84"/>
      <c r="T462" s="84"/>
      <c r="U462" s="84"/>
      <c r="V462" s="84" t="s">
        <v>1522</v>
      </c>
      <c r="W462" s="90" t="str">
        <f>HYPERLINK("https://www.youtube.com/watch?v=HHcRHrIXx74")</f>
        <v>https://www.youtube.com/watch?v=HHcRHrIXx74</v>
      </c>
      <c r="X462" s="84"/>
      <c r="Y462" s="84"/>
      <c r="Z462" s="84" t="s">
        <v>1812</v>
      </c>
      <c r="AA462" s="84"/>
      <c r="AB462" s="84"/>
      <c r="AC462" s="84"/>
      <c r="AD462" s="84"/>
      <c r="AE462">
        <v>5</v>
      </c>
      <c r="AF462" s="83" t="str">
        <f>REPLACE(INDEX(GroupVertices[Group],MATCH(Edges[[#This Row],[Vertex 1]],GroupVertices[Vertex],0)),1,1,"")</f>
        <v>6</v>
      </c>
      <c r="AG462" s="83" t="str">
        <f>REPLACE(INDEX(GroupVertices[Group],MATCH(Edges[[#This Row],[Vertex 2]],GroupVertices[Vertex],0)),1,1,"")</f>
        <v>6</v>
      </c>
      <c r="AH462" s="31"/>
      <c r="AI462" s="31"/>
      <c r="AJ462" s="31"/>
      <c r="AK462" s="31"/>
      <c r="AL462" s="31"/>
      <c r="AM462" s="31"/>
      <c r="AN462" s="31"/>
      <c r="AO462" s="31"/>
      <c r="AP462" s="31"/>
    </row>
    <row r="463" spans="1:42" ht="15">
      <c r="A463" s="61" t="s">
        <v>635</v>
      </c>
      <c r="B463" s="61" t="s">
        <v>635</v>
      </c>
      <c r="C463" s="62" t="s">
        <v>2892</v>
      </c>
      <c r="D463" s="63">
        <v>8.333333333333334</v>
      </c>
      <c r="E463" s="62"/>
      <c r="F463" s="65">
        <v>15</v>
      </c>
      <c r="G463" s="62"/>
      <c r="H463" s="66"/>
      <c r="I463" s="67"/>
      <c r="J463" s="67"/>
      <c r="K463" s="31" t="s">
        <v>65</v>
      </c>
      <c r="L463" s="68">
        <v>463</v>
      </c>
      <c r="M463" s="68"/>
      <c r="N463" s="69"/>
      <c r="O463" s="84" t="s">
        <v>654</v>
      </c>
      <c r="P463" s="84"/>
      <c r="Q463" s="84"/>
      <c r="R463" s="84"/>
      <c r="S463" s="84"/>
      <c r="T463" s="84"/>
      <c r="U463" s="84"/>
      <c r="V463" s="84" t="s">
        <v>1523</v>
      </c>
      <c r="W463" s="90" t="str">
        <f>HYPERLINK("https://www.youtube.com/watch?v=jax5S154pUY")</f>
        <v>https://www.youtube.com/watch?v=jax5S154pUY</v>
      </c>
      <c r="X463" s="84"/>
      <c r="Y463" s="84"/>
      <c r="Z463" s="93">
        <v>43931.31255787037</v>
      </c>
      <c r="AA463" s="84"/>
      <c r="AB463" s="84"/>
      <c r="AC463" s="84"/>
      <c r="AD463" s="84"/>
      <c r="AE463">
        <v>5</v>
      </c>
      <c r="AF463" s="83" t="str">
        <f>REPLACE(INDEX(GroupVertices[Group],MATCH(Edges[[#This Row],[Vertex 1]],GroupVertices[Vertex],0)),1,1,"")</f>
        <v>6</v>
      </c>
      <c r="AG463" s="83" t="str">
        <f>REPLACE(INDEX(GroupVertices[Group],MATCH(Edges[[#This Row],[Vertex 2]],GroupVertices[Vertex],0)),1,1,"")</f>
        <v>6</v>
      </c>
      <c r="AH463" s="31"/>
      <c r="AI463" s="31"/>
      <c r="AJ463" s="31"/>
      <c r="AK463" s="31"/>
      <c r="AL463" s="31"/>
      <c r="AM463" s="31"/>
      <c r="AN463" s="31"/>
      <c r="AO463" s="31"/>
      <c r="AP463" s="31"/>
    </row>
    <row r="464" spans="1:42" ht="15">
      <c r="A464" s="61" t="s">
        <v>635</v>
      </c>
      <c r="B464" s="61" t="s">
        <v>635</v>
      </c>
      <c r="C464" s="62" t="s">
        <v>2892</v>
      </c>
      <c r="D464" s="63">
        <v>8.333333333333334</v>
      </c>
      <c r="E464" s="62"/>
      <c r="F464" s="65">
        <v>15</v>
      </c>
      <c r="G464" s="62"/>
      <c r="H464" s="66"/>
      <c r="I464" s="67"/>
      <c r="J464" s="67"/>
      <c r="K464" s="31" t="s">
        <v>65</v>
      </c>
      <c r="L464" s="68">
        <v>464</v>
      </c>
      <c r="M464" s="68"/>
      <c r="N464" s="69"/>
      <c r="O464" s="84" t="s">
        <v>654</v>
      </c>
      <c r="P464" s="84"/>
      <c r="Q464" s="84"/>
      <c r="R464" s="84"/>
      <c r="S464" s="84"/>
      <c r="T464" s="84"/>
      <c r="U464" s="84"/>
      <c r="V464" s="84" t="s">
        <v>1524</v>
      </c>
      <c r="W464" s="90" t="str">
        <f>HYPERLINK("https://www.youtube.com/watch?v=2LlqEzeKqmg")</f>
        <v>https://www.youtube.com/watch?v=2LlqEzeKqmg</v>
      </c>
      <c r="X464" s="84"/>
      <c r="Y464" s="84"/>
      <c r="Z464" s="84" t="s">
        <v>1813</v>
      </c>
      <c r="AA464" s="84"/>
      <c r="AB464" s="84"/>
      <c r="AC464" s="84"/>
      <c r="AD464" s="84"/>
      <c r="AE464">
        <v>5</v>
      </c>
      <c r="AF464" s="83" t="str">
        <f>REPLACE(INDEX(GroupVertices[Group],MATCH(Edges[[#This Row],[Vertex 1]],GroupVertices[Vertex],0)),1,1,"")</f>
        <v>6</v>
      </c>
      <c r="AG464" s="83" t="str">
        <f>REPLACE(INDEX(GroupVertices[Group],MATCH(Edges[[#This Row],[Vertex 2]],GroupVertices[Vertex],0)),1,1,"")</f>
        <v>6</v>
      </c>
      <c r="AH464" s="31"/>
      <c r="AI464" s="31"/>
      <c r="AJ464" s="31"/>
      <c r="AK464" s="31"/>
      <c r="AL464" s="31"/>
      <c r="AM464" s="31"/>
      <c r="AN464" s="31"/>
      <c r="AO464" s="31"/>
      <c r="AP464" s="31"/>
    </row>
    <row r="465" spans="1:42" ht="15">
      <c r="A465" s="61" t="s">
        <v>635</v>
      </c>
      <c r="B465" s="61" t="s">
        <v>635</v>
      </c>
      <c r="C465" s="62" t="s">
        <v>2892</v>
      </c>
      <c r="D465" s="63">
        <v>8.333333333333334</v>
      </c>
      <c r="E465" s="62"/>
      <c r="F465" s="65">
        <v>15</v>
      </c>
      <c r="G465" s="62"/>
      <c r="H465" s="66"/>
      <c r="I465" s="67"/>
      <c r="J465" s="67"/>
      <c r="K465" s="31" t="s">
        <v>65</v>
      </c>
      <c r="L465" s="68">
        <v>465</v>
      </c>
      <c r="M465" s="68"/>
      <c r="N465" s="69"/>
      <c r="O465" s="84" t="s">
        <v>654</v>
      </c>
      <c r="P465" s="84"/>
      <c r="Q465" s="84"/>
      <c r="R465" s="84"/>
      <c r="S465" s="84"/>
      <c r="T465" s="84"/>
      <c r="U465" s="84"/>
      <c r="V465" s="84" t="s">
        <v>1525</v>
      </c>
      <c r="W465" s="90" t="str">
        <f>HYPERLINK("https://www.youtube.com/watch?v=L9MlOlol2AI")</f>
        <v>https://www.youtube.com/watch?v=L9MlOlol2AI</v>
      </c>
      <c r="X465" s="84"/>
      <c r="Y465" s="84"/>
      <c r="Z465" s="84" t="s">
        <v>1814</v>
      </c>
      <c r="AA465" s="84"/>
      <c r="AB465" s="84"/>
      <c r="AC465" s="84"/>
      <c r="AD465" s="84"/>
      <c r="AE465">
        <v>5</v>
      </c>
      <c r="AF465" s="83" t="str">
        <f>REPLACE(INDEX(GroupVertices[Group],MATCH(Edges[[#This Row],[Vertex 1]],GroupVertices[Vertex],0)),1,1,"")</f>
        <v>6</v>
      </c>
      <c r="AG465" s="83" t="str">
        <f>REPLACE(INDEX(GroupVertices[Group],MATCH(Edges[[#This Row],[Vertex 2]],GroupVertices[Vertex],0)),1,1,"")</f>
        <v>6</v>
      </c>
      <c r="AH465" s="31"/>
      <c r="AI465" s="31"/>
      <c r="AJ465" s="31"/>
      <c r="AK465" s="31"/>
      <c r="AL465" s="31"/>
      <c r="AM465" s="31"/>
      <c r="AN465" s="31"/>
      <c r="AO465" s="31"/>
      <c r="AP465" s="31"/>
    </row>
    <row r="466" spans="1:42" ht="15">
      <c r="A466" s="61" t="s">
        <v>636</v>
      </c>
      <c r="B466" s="61" t="s">
        <v>636</v>
      </c>
      <c r="C466" s="62" t="s">
        <v>2891</v>
      </c>
      <c r="D466" s="63">
        <v>5</v>
      </c>
      <c r="E466" s="62"/>
      <c r="F466" s="65">
        <v>25</v>
      </c>
      <c r="G466" s="62"/>
      <c r="H466" s="66"/>
      <c r="I466" s="67"/>
      <c r="J466" s="67"/>
      <c r="K466" s="31" t="s">
        <v>65</v>
      </c>
      <c r="L466" s="68">
        <v>466</v>
      </c>
      <c r="M466" s="68"/>
      <c r="N466" s="69"/>
      <c r="O466" s="84" t="s">
        <v>654</v>
      </c>
      <c r="P466" s="84"/>
      <c r="Q466" s="84"/>
      <c r="R466" s="84"/>
      <c r="S466" s="84"/>
      <c r="T466" s="84"/>
      <c r="U466" s="84"/>
      <c r="V466" s="84" t="s">
        <v>1526</v>
      </c>
      <c r="W466" s="90" t="str">
        <f>HYPERLINK("https://www.youtube.com/watch?v=xoF2RCyyK4I")</f>
        <v>https://www.youtube.com/watch?v=xoF2RCyyK4I</v>
      </c>
      <c r="X466" s="84"/>
      <c r="Y466" s="84"/>
      <c r="Z466" s="84" t="s">
        <v>1815</v>
      </c>
      <c r="AA466" s="84"/>
      <c r="AB466" s="84"/>
      <c r="AC466" s="84"/>
      <c r="AD466" s="84"/>
      <c r="AE466">
        <v>1</v>
      </c>
      <c r="AF466" s="83" t="str">
        <f>REPLACE(INDEX(GroupVertices[Group],MATCH(Edges[[#This Row],[Vertex 1]],GroupVertices[Vertex],0)),1,1,"")</f>
        <v>6</v>
      </c>
      <c r="AG466" s="83" t="str">
        <f>REPLACE(INDEX(GroupVertices[Group],MATCH(Edges[[#This Row],[Vertex 2]],GroupVertices[Vertex],0)),1,1,"")</f>
        <v>6</v>
      </c>
      <c r="AH466" s="31"/>
      <c r="AI466" s="31"/>
      <c r="AJ466" s="31"/>
      <c r="AK466" s="31"/>
      <c r="AL466" s="31"/>
      <c r="AM466" s="31"/>
      <c r="AN466" s="31"/>
      <c r="AO466" s="31"/>
      <c r="AP466" s="31"/>
    </row>
    <row r="467" spans="1:42" ht="15">
      <c r="A467" s="61" t="s">
        <v>637</v>
      </c>
      <c r="B467" s="61" t="s">
        <v>637</v>
      </c>
      <c r="C467" s="62" t="s">
        <v>2891</v>
      </c>
      <c r="D467" s="63">
        <v>5</v>
      </c>
      <c r="E467" s="62"/>
      <c r="F467" s="65">
        <v>25</v>
      </c>
      <c r="G467" s="62"/>
      <c r="H467" s="66"/>
      <c r="I467" s="67"/>
      <c r="J467" s="67"/>
      <c r="K467" s="31" t="s">
        <v>65</v>
      </c>
      <c r="L467" s="68">
        <v>467</v>
      </c>
      <c r="M467" s="68"/>
      <c r="N467" s="69"/>
      <c r="O467" s="84" t="s">
        <v>654</v>
      </c>
      <c r="P467" s="84"/>
      <c r="Q467" s="84"/>
      <c r="R467" s="84"/>
      <c r="S467" s="84"/>
      <c r="T467" s="84"/>
      <c r="U467" s="84"/>
      <c r="V467" s="84" t="s">
        <v>1475</v>
      </c>
      <c r="W467" s="90" t="str">
        <f>HYPERLINK("https://www.youtube.com/watch?v=uAUaXfejTF0")</f>
        <v>https://www.youtube.com/watch?v=uAUaXfejTF0</v>
      </c>
      <c r="X467" s="84"/>
      <c r="Y467" s="84"/>
      <c r="Z467" s="84" t="s">
        <v>1816</v>
      </c>
      <c r="AA467" s="84"/>
      <c r="AB467" s="84"/>
      <c r="AC467" s="84"/>
      <c r="AD467" s="84"/>
      <c r="AE467">
        <v>1</v>
      </c>
      <c r="AF467" s="83" t="str">
        <f>REPLACE(INDEX(GroupVertices[Group],MATCH(Edges[[#This Row],[Vertex 1]],GroupVertices[Vertex],0)),1,1,"")</f>
        <v>10</v>
      </c>
      <c r="AG467" s="83" t="str">
        <f>REPLACE(INDEX(GroupVertices[Group],MATCH(Edges[[#This Row],[Vertex 2]],GroupVertices[Vertex],0)),1,1,"")</f>
        <v>10</v>
      </c>
      <c r="AH467" s="31"/>
      <c r="AI467" s="31"/>
      <c r="AJ467" s="31"/>
      <c r="AK467" s="31"/>
      <c r="AL467" s="31"/>
      <c r="AM467" s="31"/>
      <c r="AN467" s="31"/>
      <c r="AO467" s="31"/>
      <c r="AP467" s="31"/>
    </row>
    <row r="468" spans="1:42" ht="15">
      <c r="A468" s="61" t="s">
        <v>638</v>
      </c>
      <c r="B468" s="61" t="s">
        <v>638</v>
      </c>
      <c r="C468" s="62" t="s">
        <v>2892</v>
      </c>
      <c r="D468" s="63">
        <v>7.5</v>
      </c>
      <c r="E468" s="62"/>
      <c r="F468" s="65">
        <v>15</v>
      </c>
      <c r="G468" s="62"/>
      <c r="H468" s="66"/>
      <c r="I468" s="67"/>
      <c r="J468" s="67"/>
      <c r="K468" s="31" t="s">
        <v>65</v>
      </c>
      <c r="L468" s="68">
        <v>468</v>
      </c>
      <c r="M468" s="68"/>
      <c r="N468" s="69"/>
      <c r="O468" s="84" t="s">
        <v>654</v>
      </c>
      <c r="P468" s="84"/>
      <c r="Q468" s="84"/>
      <c r="R468" s="84"/>
      <c r="S468" s="84"/>
      <c r="T468" s="84"/>
      <c r="U468" s="84"/>
      <c r="V468" s="84" t="s">
        <v>1468</v>
      </c>
      <c r="W468" s="90" t="str">
        <f>HYPERLINK("https://www.youtube.com/watch?v=E5pyLl4d1n4")</f>
        <v>https://www.youtube.com/watch?v=E5pyLl4d1n4</v>
      </c>
      <c r="X468" s="84"/>
      <c r="Y468" s="84"/>
      <c r="Z468" s="93">
        <v>44841.657638888886</v>
      </c>
      <c r="AA468" s="84"/>
      <c r="AB468" s="84"/>
      <c r="AC468" s="84"/>
      <c r="AD468" s="84"/>
      <c r="AE468">
        <v>4</v>
      </c>
      <c r="AF468" s="83" t="str">
        <f>REPLACE(INDEX(GroupVertices[Group],MATCH(Edges[[#This Row],[Vertex 1]],GroupVertices[Vertex],0)),1,1,"")</f>
        <v>11</v>
      </c>
      <c r="AG468" s="83" t="str">
        <f>REPLACE(INDEX(GroupVertices[Group],MATCH(Edges[[#This Row],[Vertex 2]],GroupVertices[Vertex],0)),1,1,"")</f>
        <v>11</v>
      </c>
      <c r="AH468" s="31"/>
      <c r="AI468" s="31"/>
      <c r="AJ468" s="31"/>
      <c r="AK468" s="31"/>
      <c r="AL468" s="31"/>
      <c r="AM468" s="31"/>
      <c r="AN468" s="31"/>
      <c r="AO468" s="31"/>
      <c r="AP468" s="31"/>
    </row>
    <row r="469" spans="1:42" ht="15">
      <c r="A469" s="61" t="s">
        <v>638</v>
      </c>
      <c r="B469" s="61" t="s">
        <v>638</v>
      </c>
      <c r="C469" s="62" t="s">
        <v>2892</v>
      </c>
      <c r="D469" s="63">
        <v>7.5</v>
      </c>
      <c r="E469" s="62"/>
      <c r="F469" s="65">
        <v>15</v>
      </c>
      <c r="G469" s="62"/>
      <c r="H469" s="66"/>
      <c r="I469" s="67"/>
      <c r="J469" s="67"/>
      <c r="K469" s="31" t="s">
        <v>65</v>
      </c>
      <c r="L469" s="68">
        <v>469</v>
      </c>
      <c r="M469" s="68"/>
      <c r="N469" s="69"/>
      <c r="O469" s="84" t="s">
        <v>654</v>
      </c>
      <c r="P469" s="84"/>
      <c r="Q469" s="84"/>
      <c r="R469" s="84"/>
      <c r="S469" s="84"/>
      <c r="T469" s="84"/>
      <c r="U469" s="84"/>
      <c r="V469" s="84" t="s">
        <v>1472</v>
      </c>
      <c r="W469" s="90" t="str">
        <f>HYPERLINK("https://www.youtube.com/watch?v=fCFjQcgqiRU")</f>
        <v>https://www.youtube.com/watch?v=fCFjQcgqiRU</v>
      </c>
      <c r="X469" s="84"/>
      <c r="Y469" s="84"/>
      <c r="Z469" s="93">
        <v>44812.699421296296</v>
      </c>
      <c r="AA469" s="84"/>
      <c r="AB469" s="84"/>
      <c r="AC469" s="84"/>
      <c r="AD469" s="84"/>
      <c r="AE469">
        <v>4</v>
      </c>
      <c r="AF469" s="83" t="str">
        <f>REPLACE(INDEX(GroupVertices[Group],MATCH(Edges[[#This Row],[Vertex 1]],GroupVertices[Vertex],0)),1,1,"")</f>
        <v>11</v>
      </c>
      <c r="AG469" s="83" t="str">
        <f>REPLACE(INDEX(GroupVertices[Group],MATCH(Edges[[#This Row],[Vertex 2]],GroupVertices[Vertex],0)),1,1,"")</f>
        <v>11</v>
      </c>
      <c r="AH469" s="31"/>
      <c r="AI469" s="31"/>
      <c r="AJ469" s="31"/>
      <c r="AK469" s="31"/>
      <c r="AL469" s="31"/>
      <c r="AM469" s="31"/>
      <c r="AN469" s="31"/>
      <c r="AO469" s="31"/>
      <c r="AP469" s="31"/>
    </row>
    <row r="470" spans="1:42" ht="15">
      <c r="A470" s="61" t="s">
        <v>638</v>
      </c>
      <c r="B470" s="61" t="s">
        <v>638</v>
      </c>
      <c r="C470" s="62" t="s">
        <v>2892</v>
      </c>
      <c r="D470" s="63">
        <v>7.5</v>
      </c>
      <c r="E470" s="62"/>
      <c r="F470" s="65">
        <v>15</v>
      </c>
      <c r="G470" s="62"/>
      <c r="H470" s="66"/>
      <c r="I470" s="67"/>
      <c r="J470" s="67"/>
      <c r="K470" s="31" t="s">
        <v>65</v>
      </c>
      <c r="L470" s="68">
        <v>470</v>
      </c>
      <c r="M470" s="68"/>
      <c r="N470" s="69"/>
      <c r="O470" s="84" t="s">
        <v>654</v>
      </c>
      <c r="P470" s="84"/>
      <c r="Q470" s="84"/>
      <c r="R470" s="84"/>
      <c r="S470" s="84"/>
      <c r="T470" s="84"/>
      <c r="U470" s="84"/>
      <c r="V470" s="84" t="s">
        <v>1474</v>
      </c>
      <c r="W470" s="90" t="str">
        <f>HYPERLINK("https://www.youtube.com/watch?v=at2tFKXepb0")</f>
        <v>https://www.youtube.com/watch?v=at2tFKXepb0</v>
      </c>
      <c r="X470" s="84"/>
      <c r="Y470" s="84"/>
      <c r="Z470" s="84" t="s">
        <v>1817</v>
      </c>
      <c r="AA470" s="84"/>
      <c r="AB470" s="84"/>
      <c r="AC470" s="84"/>
      <c r="AD470" s="84"/>
      <c r="AE470">
        <v>4</v>
      </c>
      <c r="AF470" s="83" t="str">
        <f>REPLACE(INDEX(GroupVertices[Group],MATCH(Edges[[#This Row],[Vertex 1]],GroupVertices[Vertex],0)),1,1,"")</f>
        <v>11</v>
      </c>
      <c r="AG470" s="83" t="str">
        <f>REPLACE(INDEX(GroupVertices[Group],MATCH(Edges[[#This Row],[Vertex 2]],GroupVertices[Vertex],0)),1,1,"")</f>
        <v>11</v>
      </c>
      <c r="AH470" s="31"/>
      <c r="AI470" s="31"/>
      <c r="AJ470" s="31"/>
      <c r="AK470" s="31"/>
      <c r="AL470" s="31"/>
      <c r="AM470" s="31"/>
      <c r="AN470" s="31"/>
      <c r="AO470" s="31"/>
      <c r="AP470" s="31"/>
    </row>
    <row r="471" spans="1:42" ht="15">
      <c r="A471" s="61" t="s">
        <v>638</v>
      </c>
      <c r="B471" s="61" t="s">
        <v>638</v>
      </c>
      <c r="C471" s="62" t="s">
        <v>2892</v>
      </c>
      <c r="D471" s="63">
        <v>7.5</v>
      </c>
      <c r="E471" s="62"/>
      <c r="F471" s="65">
        <v>15</v>
      </c>
      <c r="G471" s="62"/>
      <c r="H471" s="66"/>
      <c r="I471" s="67"/>
      <c r="J471" s="67"/>
      <c r="K471" s="31" t="s">
        <v>65</v>
      </c>
      <c r="L471" s="68">
        <v>471</v>
      </c>
      <c r="M471" s="68"/>
      <c r="N471" s="69"/>
      <c r="O471" s="84" t="s">
        <v>654</v>
      </c>
      <c r="P471" s="84"/>
      <c r="Q471" s="84"/>
      <c r="R471" s="84"/>
      <c r="S471" s="84"/>
      <c r="T471" s="84"/>
      <c r="U471" s="84"/>
      <c r="V471" s="84" t="s">
        <v>1476</v>
      </c>
      <c r="W471" s="90" t="str">
        <f>HYPERLINK("https://www.youtube.com/watch?v=S2Q6MbgzyQ0")</f>
        <v>https://www.youtube.com/watch?v=S2Q6MbgzyQ0</v>
      </c>
      <c r="X471" s="84"/>
      <c r="Y471" s="84"/>
      <c r="Z471" s="84" t="s">
        <v>1818</v>
      </c>
      <c r="AA471" s="84"/>
      <c r="AB471" s="84"/>
      <c r="AC471" s="84"/>
      <c r="AD471" s="84"/>
      <c r="AE471">
        <v>4</v>
      </c>
      <c r="AF471" s="83" t="str">
        <f>REPLACE(INDEX(GroupVertices[Group],MATCH(Edges[[#This Row],[Vertex 1]],GroupVertices[Vertex],0)),1,1,"")</f>
        <v>11</v>
      </c>
      <c r="AG471" s="83" t="str">
        <f>REPLACE(INDEX(GroupVertices[Group],MATCH(Edges[[#This Row],[Vertex 2]],GroupVertices[Vertex],0)),1,1,"")</f>
        <v>11</v>
      </c>
      <c r="AH471" s="31"/>
      <c r="AI471" s="31"/>
      <c r="AJ471" s="31"/>
      <c r="AK471" s="31"/>
      <c r="AL471" s="31"/>
      <c r="AM471" s="31"/>
      <c r="AN471" s="31"/>
      <c r="AO471" s="31"/>
      <c r="AP471" s="31"/>
    </row>
    <row r="472" spans="1:42" ht="15">
      <c r="A472" s="61" t="s">
        <v>639</v>
      </c>
      <c r="B472" s="61" t="s">
        <v>639</v>
      </c>
      <c r="C472" s="62" t="s">
        <v>2892</v>
      </c>
      <c r="D472" s="63">
        <v>7.5</v>
      </c>
      <c r="E472" s="62"/>
      <c r="F472" s="65">
        <v>15</v>
      </c>
      <c r="G472" s="62"/>
      <c r="H472" s="66"/>
      <c r="I472" s="67"/>
      <c r="J472" s="67"/>
      <c r="K472" s="31" t="s">
        <v>65</v>
      </c>
      <c r="L472" s="68">
        <v>472</v>
      </c>
      <c r="M472" s="68"/>
      <c r="N472" s="69"/>
      <c r="O472" s="84" t="s">
        <v>654</v>
      </c>
      <c r="P472" s="84"/>
      <c r="Q472" s="84"/>
      <c r="R472" s="84"/>
      <c r="S472" s="84"/>
      <c r="T472" s="84"/>
      <c r="U472" s="84"/>
      <c r="V472" s="84" t="s">
        <v>1473</v>
      </c>
      <c r="W472" s="90" t="str">
        <f>HYPERLINK("https://www.youtube.com/watch?v=24GjPEXurh8")</f>
        <v>https://www.youtube.com/watch?v=24GjPEXurh8</v>
      </c>
      <c r="X472" s="84"/>
      <c r="Y472" s="84"/>
      <c r="Z472" s="84" t="s">
        <v>1819</v>
      </c>
      <c r="AA472" s="84"/>
      <c r="AB472" s="84"/>
      <c r="AC472" s="84"/>
      <c r="AD472" s="84"/>
      <c r="AE472">
        <v>4</v>
      </c>
      <c r="AF472" s="83" t="str">
        <f>REPLACE(INDEX(GroupVertices[Group],MATCH(Edges[[#This Row],[Vertex 1]],GroupVertices[Vertex],0)),1,1,"")</f>
        <v>12</v>
      </c>
      <c r="AG472" s="83" t="str">
        <f>REPLACE(INDEX(GroupVertices[Group],MATCH(Edges[[#This Row],[Vertex 2]],GroupVertices[Vertex],0)),1,1,"")</f>
        <v>12</v>
      </c>
      <c r="AH472" s="31"/>
      <c r="AI472" s="31"/>
      <c r="AJ472" s="31"/>
      <c r="AK472" s="31"/>
      <c r="AL472" s="31"/>
      <c r="AM472" s="31"/>
      <c r="AN472" s="31"/>
      <c r="AO472" s="31"/>
      <c r="AP472" s="31"/>
    </row>
    <row r="473" spans="1:42" ht="15">
      <c r="A473" s="61" t="s">
        <v>639</v>
      </c>
      <c r="B473" s="61" t="s">
        <v>639</v>
      </c>
      <c r="C473" s="62" t="s">
        <v>2892</v>
      </c>
      <c r="D473" s="63">
        <v>7.5</v>
      </c>
      <c r="E473" s="62"/>
      <c r="F473" s="65">
        <v>15</v>
      </c>
      <c r="G473" s="62"/>
      <c r="H473" s="66"/>
      <c r="I473" s="67"/>
      <c r="J473" s="67"/>
      <c r="K473" s="31" t="s">
        <v>65</v>
      </c>
      <c r="L473" s="68">
        <v>473</v>
      </c>
      <c r="M473" s="68"/>
      <c r="N473" s="69"/>
      <c r="O473" s="84" t="s">
        <v>654</v>
      </c>
      <c r="P473" s="84"/>
      <c r="Q473" s="84"/>
      <c r="R473" s="84"/>
      <c r="S473" s="84"/>
      <c r="T473" s="84"/>
      <c r="U473" s="84"/>
      <c r="V473" s="84" t="s">
        <v>1527</v>
      </c>
      <c r="W473" s="90" t="str">
        <f>HYPERLINK("https://www.youtube.com/watch?v=sNCeLoiNpjs")</f>
        <v>https://www.youtube.com/watch?v=sNCeLoiNpjs</v>
      </c>
      <c r="X473" s="84"/>
      <c r="Y473" s="84"/>
      <c r="Z473" s="84" t="s">
        <v>1820</v>
      </c>
      <c r="AA473" s="84"/>
      <c r="AB473" s="84"/>
      <c r="AC473" s="84"/>
      <c r="AD473" s="84"/>
      <c r="AE473">
        <v>4</v>
      </c>
      <c r="AF473" s="83" t="str">
        <f>REPLACE(INDEX(GroupVertices[Group],MATCH(Edges[[#This Row],[Vertex 1]],GroupVertices[Vertex],0)),1,1,"")</f>
        <v>12</v>
      </c>
      <c r="AG473" s="83" t="str">
        <f>REPLACE(INDEX(GroupVertices[Group],MATCH(Edges[[#This Row],[Vertex 2]],GroupVertices[Vertex],0)),1,1,"")</f>
        <v>12</v>
      </c>
      <c r="AH473" s="31"/>
      <c r="AI473" s="31"/>
      <c r="AJ473" s="31"/>
      <c r="AK473" s="31"/>
      <c r="AL473" s="31"/>
      <c r="AM473" s="31"/>
      <c r="AN473" s="31"/>
      <c r="AO473" s="31"/>
      <c r="AP473" s="31"/>
    </row>
    <row r="474" spans="1:42" ht="15">
      <c r="A474" s="61" t="s">
        <v>639</v>
      </c>
      <c r="B474" s="61" t="s">
        <v>639</v>
      </c>
      <c r="C474" s="62" t="s">
        <v>2892</v>
      </c>
      <c r="D474" s="63">
        <v>7.5</v>
      </c>
      <c r="E474" s="62"/>
      <c r="F474" s="65">
        <v>15</v>
      </c>
      <c r="G474" s="62"/>
      <c r="H474" s="66"/>
      <c r="I474" s="67"/>
      <c r="J474" s="67"/>
      <c r="K474" s="31" t="s">
        <v>65</v>
      </c>
      <c r="L474" s="68">
        <v>474</v>
      </c>
      <c r="M474" s="68"/>
      <c r="N474" s="69"/>
      <c r="O474" s="84" t="s">
        <v>654</v>
      </c>
      <c r="P474" s="84"/>
      <c r="Q474" s="84"/>
      <c r="R474" s="84"/>
      <c r="S474" s="84"/>
      <c r="T474" s="84"/>
      <c r="U474" s="84"/>
      <c r="V474" s="84" t="s">
        <v>1477</v>
      </c>
      <c r="W474" s="90" t="str">
        <f>HYPERLINK("https://www.youtube.com/watch?v=wnu3EgrpDKA")</f>
        <v>https://www.youtube.com/watch?v=wnu3EgrpDKA</v>
      </c>
      <c r="X474" s="84"/>
      <c r="Y474" s="84"/>
      <c r="Z474" s="84" t="s">
        <v>1821</v>
      </c>
      <c r="AA474" s="84"/>
      <c r="AB474" s="84"/>
      <c r="AC474" s="84"/>
      <c r="AD474" s="84"/>
      <c r="AE474">
        <v>4</v>
      </c>
      <c r="AF474" s="83" t="str">
        <f>REPLACE(INDEX(GroupVertices[Group],MATCH(Edges[[#This Row],[Vertex 1]],GroupVertices[Vertex],0)),1,1,"")</f>
        <v>12</v>
      </c>
      <c r="AG474" s="83" t="str">
        <f>REPLACE(INDEX(GroupVertices[Group],MATCH(Edges[[#This Row],[Vertex 2]],GroupVertices[Vertex],0)),1,1,"")</f>
        <v>12</v>
      </c>
      <c r="AH474" s="31"/>
      <c r="AI474" s="31"/>
      <c r="AJ474" s="31"/>
      <c r="AK474" s="31"/>
      <c r="AL474" s="31"/>
      <c r="AM474" s="31"/>
      <c r="AN474" s="31"/>
      <c r="AO474" s="31"/>
      <c r="AP474" s="31"/>
    </row>
    <row r="475" spans="1:42" ht="15">
      <c r="A475" s="61" t="s">
        <v>639</v>
      </c>
      <c r="B475" s="61" t="s">
        <v>639</v>
      </c>
      <c r="C475" s="62" t="s">
        <v>2892</v>
      </c>
      <c r="D475" s="63">
        <v>7.5</v>
      </c>
      <c r="E475" s="62"/>
      <c r="F475" s="65">
        <v>15</v>
      </c>
      <c r="G475" s="62"/>
      <c r="H475" s="66"/>
      <c r="I475" s="67"/>
      <c r="J475" s="67"/>
      <c r="K475" s="31" t="s">
        <v>65</v>
      </c>
      <c r="L475" s="68">
        <v>475</v>
      </c>
      <c r="M475" s="68"/>
      <c r="N475" s="69"/>
      <c r="O475" s="84" t="s">
        <v>654</v>
      </c>
      <c r="P475" s="84"/>
      <c r="Q475" s="84"/>
      <c r="R475" s="84"/>
      <c r="S475" s="84"/>
      <c r="T475" s="84"/>
      <c r="U475" s="84"/>
      <c r="V475" s="84" t="s">
        <v>1479</v>
      </c>
      <c r="W475" s="90" t="str">
        <f>HYPERLINK("https://www.youtube.com/watch?v=VMiOmNUJ-_A")</f>
        <v>https://www.youtube.com/watch?v=VMiOmNUJ-_A</v>
      </c>
      <c r="X475" s="84"/>
      <c r="Y475" s="84"/>
      <c r="Z475" s="84" t="s">
        <v>1822</v>
      </c>
      <c r="AA475" s="84"/>
      <c r="AB475" s="84"/>
      <c r="AC475" s="84"/>
      <c r="AD475" s="84"/>
      <c r="AE475">
        <v>4</v>
      </c>
      <c r="AF475" s="83" t="str">
        <f>REPLACE(INDEX(GroupVertices[Group],MATCH(Edges[[#This Row],[Vertex 1]],GroupVertices[Vertex],0)),1,1,"")</f>
        <v>12</v>
      </c>
      <c r="AG475" s="83" t="str">
        <f>REPLACE(INDEX(GroupVertices[Group],MATCH(Edges[[#This Row],[Vertex 2]],GroupVertices[Vertex],0)),1,1,"")</f>
        <v>12</v>
      </c>
      <c r="AH475" s="31"/>
      <c r="AI475" s="31"/>
      <c r="AJ475" s="31"/>
      <c r="AK475" s="31"/>
      <c r="AL475" s="31"/>
      <c r="AM475" s="31"/>
      <c r="AN475" s="31"/>
      <c r="AO475" s="31"/>
      <c r="AP475" s="31"/>
    </row>
    <row r="476" spans="1:42" ht="15">
      <c r="A476" s="61" t="s">
        <v>640</v>
      </c>
      <c r="B476" s="61" t="s">
        <v>640</v>
      </c>
      <c r="C476" s="62" t="s">
        <v>2891</v>
      </c>
      <c r="D476" s="63">
        <v>5</v>
      </c>
      <c r="E476" s="62"/>
      <c r="F476" s="65">
        <v>25</v>
      </c>
      <c r="G476" s="62"/>
      <c r="H476" s="66"/>
      <c r="I476" s="67"/>
      <c r="J476" s="67"/>
      <c r="K476" s="31" t="s">
        <v>65</v>
      </c>
      <c r="L476" s="68">
        <v>476</v>
      </c>
      <c r="M476" s="68"/>
      <c r="N476" s="69"/>
      <c r="O476" s="84" t="s">
        <v>654</v>
      </c>
      <c r="P476" s="84"/>
      <c r="Q476" s="84"/>
      <c r="R476" s="84"/>
      <c r="S476" s="84"/>
      <c r="T476" s="84"/>
      <c r="U476" s="84"/>
      <c r="V476" s="84" t="s">
        <v>1528</v>
      </c>
      <c r="W476" s="90" t="str">
        <f>HYPERLINK("https://www.youtube.com/watch?v=BmwEbeijINQ")</f>
        <v>https://www.youtube.com/watch?v=BmwEbeijINQ</v>
      </c>
      <c r="X476" s="84"/>
      <c r="Y476" s="84"/>
      <c r="Z476" s="93">
        <v>45171.65770833333</v>
      </c>
      <c r="AA476" s="84"/>
      <c r="AB476" s="84"/>
      <c r="AC476" s="84"/>
      <c r="AD476" s="84"/>
      <c r="AE476">
        <v>1</v>
      </c>
      <c r="AF476" s="83" t="str">
        <f>REPLACE(INDEX(GroupVertices[Group],MATCH(Edges[[#This Row],[Vertex 1]],GroupVertices[Vertex],0)),1,1,"")</f>
        <v>6</v>
      </c>
      <c r="AG476" s="83" t="str">
        <f>REPLACE(INDEX(GroupVertices[Group],MATCH(Edges[[#This Row],[Vertex 2]],GroupVertices[Vertex],0)),1,1,"")</f>
        <v>6</v>
      </c>
      <c r="AH476" s="31"/>
      <c r="AI476" s="31"/>
      <c r="AJ476" s="31"/>
      <c r="AK476" s="31"/>
      <c r="AL476" s="31"/>
      <c r="AM476" s="31"/>
      <c r="AN476" s="31"/>
      <c r="AO476" s="31"/>
      <c r="AP476" s="31"/>
    </row>
    <row r="477" spans="1:42" ht="15">
      <c r="A477" s="61" t="s">
        <v>641</v>
      </c>
      <c r="B477" s="61" t="s">
        <v>641</v>
      </c>
      <c r="C477" s="62" t="s">
        <v>2891</v>
      </c>
      <c r="D477" s="63">
        <v>5</v>
      </c>
      <c r="E477" s="62"/>
      <c r="F477" s="65">
        <v>25</v>
      </c>
      <c r="G477" s="62"/>
      <c r="H477" s="66"/>
      <c r="I477" s="67"/>
      <c r="J477" s="67"/>
      <c r="K477" s="31" t="s">
        <v>65</v>
      </c>
      <c r="L477" s="68">
        <v>477</v>
      </c>
      <c r="M477" s="68"/>
      <c r="N477" s="69"/>
      <c r="O477" s="84" t="s">
        <v>654</v>
      </c>
      <c r="P477" s="84"/>
      <c r="Q477" s="84"/>
      <c r="R477" s="84"/>
      <c r="S477" s="84"/>
      <c r="T477" s="84"/>
      <c r="U477" s="84"/>
      <c r="V477" s="84" t="s">
        <v>1480</v>
      </c>
      <c r="W477" s="90" t="str">
        <f>HYPERLINK("https://www.youtube.com/watch?v=6OvHeSUrUrw")</f>
        <v>https://www.youtube.com/watch?v=6OvHeSUrUrw</v>
      </c>
      <c r="X477" s="84"/>
      <c r="Y477" s="84"/>
      <c r="Z477" s="93">
        <v>45051.526979166665</v>
      </c>
      <c r="AA477" s="84"/>
      <c r="AB477" s="84"/>
      <c r="AC477" s="84"/>
      <c r="AD477" s="84"/>
      <c r="AE477">
        <v>1</v>
      </c>
      <c r="AF477" s="83" t="str">
        <f>REPLACE(INDEX(GroupVertices[Group],MATCH(Edges[[#This Row],[Vertex 1]],GroupVertices[Vertex],0)),1,1,"")</f>
        <v>15</v>
      </c>
      <c r="AG477" s="83" t="str">
        <f>REPLACE(INDEX(GroupVertices[Group],MATCH(Edges[[#This Row],[Vertex 2]],GroupVertices[Vertex],0)),1,1,"")</f>
        <v>15</v>
      </c>
      <c r="AH477" s="31"/>
      <c r="AI477" s="31"/>
      <c r="AJ477" s="31"/>
      <c r="AK477" s="31"/>
      <c r="AL477" s="31"/>
      <c r="AM477" s="31"/>
      <c r="AN477" s="31"/>
      <c r="AO477" s="31"/>
      <c r="AP477" s="31"/>
    </row>
    <row r="478" spans="1:42" ht="15">
      <c r="A478" s="61" t="s">
        <v>642</v>
      </c>
      <c r="B478" s="61" t="s">
        <v>642</v>
      </c>
      <c r="C478" s="62" t="s">
        <v>2892</v>
      </c>
      <c r="D478" s="63">
        <v>9.166666666666668</v>
      </c>
      <c r="E478" s="62"/>
      <c r="F478" s="65">
        <v>15</v>
      </c>
      <c r="G478" s="62"/>
      <c r="H478" s="66"/>
      <c r="I478" s="67"/>
      <c r="J478" s="67"/>
      <c r="K478" s="31" t="s">
        <v>65</v>
      </c>
      <c r="L478" s="68">
        <v>478</v>
      </c>
      <c r="M478" s="68"/>
      <c r="N478" s="69"/>
      <c r="O478" s="84" t="s">
        <v>654</v>
      </c>
      <c r="P478" s="84"/>
      <c r="Q478" s="84"/>
      <c r="R478" s="84"/>
      <c r="S478" s="84"/>
      <c r="T478" s="84"/>
      <c r="U478" s="84"/>
      <c r="V478" s="84" t="s">
        <v>1454</v>
      </c>
      <c r="W478" s="90" t="str">
        <f>HYPERLINK("https://www.youtube.com/watch?v=N26V8flGCIw")</f>
        <v>https://www.youtube.com/watch?v=N26V8flGCIw</v>
      </c>
      <c r="X478" s="84"/>
      <c r="Y478" s="84"/>
      <c r="Z478" s="93">
        <v>43682.61016203704</v>
      </c>
      <c r="AA478" s="84"/>
      <c r="AB478" s="84"/>
      <c r="AC478" s="84"/>
      <c r="AD478" s="84"/>
      <c r="AE478">
        <v>6</v>
      </c>
      <c r="AF478" s="83" t="str">
        <f>REPLACE(INDEX(GroupVertices[Group],MATCH(Edges[[#This Row],[Vertex 1]],GroupVertices[Vertex],0)),1,1,"")</f>
        <v>3</v>
      </c>
      <c r="AG478" s="83" t="str">
        <f>REPLACE(INDEX(GroupVertices[Group],MATCH(Edges[[#This Row],[Vertex 2]],GroupVertices[Vertex],0)),1,1,"")</f>
        <v>3</v>
      </c>
      <c r="AH478" s="31"/>
      <c r="AI478" s="31"/>
      <c r="AJ478" s="31"/>
      <c r="AK478" s="31"/>
      <c r="AL478" s="31"/>
      <c r="AM478" s="31"/>
      <c r="AN478" s="31"/>
      <c r="AO478" s="31"/>
      <c r="AP478" s="31"/>
    </row>
    <row r="479" spans="1:42" ht="15">
      <c r="A479" s="61" t="s">
        <v>642</v>
      </c>
      <c r="B479" s="61" t="s">
        <v>642</v>
      </c>
      <c r="C479" s="62" t="s">
        <v>2892</v>
      </c>
      <c r="D479" s="63">
        <v>9.166666666666668</v>
      </c>
      <c r="E479" s="62"/>
      <c r="F479" s="65">
        <v>15</v>
      </c>
      <c r="G479" s="62"/>
      <c r="H479" s="66"/>
      <c r="I479" s="67"/>
      <c r="J479" s="67"/>
      <c r="K479" s="31" t="s">
        <v>65</v>
      </c>
      <c r="L479" s="68">
        <v>479</v>
      </c>
      <c r="M479" s="68"/>
      <c r="N479" s="69"/>
      <c r="O479" s="84" t="s">
        <v>654</v>
      </c>
      <c r="P479" s="84"/>
      <c r="Q479" s="84"/>
      <c r="R479" s="84"/>
      <c r="S479" s="84"/>
      <c r="T479" s="84"/>
      <c r="U479" s="84"/>
      <c r="V479" s="84" t="s">
        <v>1457</v>
      </c>
      <c r="W479" s="90" t="str">
        <f>HYPERLINK("https://www.youtube.com/watch?v=aVwsVbiFJZU")</f>
        <v>https://www.youtube.com/watch?v=aVwsVbiFJZU</v>
      </c>
      <c r="X479" s="84"/>
      <c r="Y479" s="84"/>
      <c r="Z479" s="93">
        <v>43803.690833333334</v>
      </c>
      <c r="AA479" s="84"/>
      <c r="AB479" s="84"/>
      <c r="AC479" s="84"/>
      <c r="AD479" s="84"/>
      <c r="AE479">
        <v>6</v>
      </c>
      <c r="AF479" s="83" t="str">
        <f>REPLACE(INDEX(GroupVertices[Group],MATCH(Edges[[#This Row],[Vertex 1]],GroupVertices[Vertex],0)),1,1,"")</f>
        <v>3</v>
      </c>
      <c r="AG479" s="83" t="str">
        <f>REPLACE(INDEX(GroupVertices[Group],MATCH(Edges[[#This Row],[Vertex 2]],GroupVertices[Vertex],0)),1,1,"")</f>
        <v>3</v>
      </c>
      <c r="AH479" s="31"/>
      <c r="AI479" s="31"/>
      <c r="AJ479" s="31"/>
      <c r="AK479" s="31"/>
      <c r="AL479" s="31"/>
      <c r="AM479" s="31"/>
      <c r="AN479" s="31"/>
      <c r="AO479" s="31"/>
      <c r="AP479" s="31"/>
    </row>
    <row r="480" spans="1:42" ht="15">
      <c r="A480" s="61" t="s">
        <v>642</v>
      </c>
      <c r="B480" s="61" t="s">
        <v>642</v>
      </c>
      <c r="C480" s="62" t="s">
        <v>2892</v>
      </c>
      <c r="D480" s="63">
        <v>9.166666666666668</v>
      </c>
      <c r="E480" s="62"/>
      <c r="F480" s="65">
        <v>15</v>
      </c>
      <c r="G480" s="62"/>
      <c r="H480" s="66"/>
      <c r="I480" s="67"/>
      <c r="J480" s="67"/>
      <c r="K480" s="31" t="s">
        <v>65</v>
      </c>
      <c r="L480" s="68">
        <v>480</v>
      </c>
      <c r="M480" s="68"/>
      <c r="N480" s="69"/>
      <c r="O480" s="84" t="s">
        <v>654</v>
      </c>
      <c r="P480" s="84"/>
      <c r="Q480" s="84"/>
      <c r="R480" s="84"/>
      <c r="S480" s="84"/>
      <c r="T480" s="84"/>
      <c r="U480" s="84"/>
      <c r="V480" s="84" t="s">
        <v>1467</v>
      </c>
      <c r="W480" s="90" t="str">
        <f>HYPERLINK("https://www.youtube.com/watch?v=uBEOAeAliTY")</f>
        <v>https://www.youtube.com/watch?v=uBEOAeAliTY</v>
      </c>
      <c r="X480" s="84"/>
      <c r="Y480" s="84"/>
      <c r="Z480" s="84" t="s">
        <v>1823</v>
      </c>
      <c r="AA480" s="84"/>
      <c r="AB480" s="84"/>
      <c r="AC480" s="84"/>
      <c r="AD480" s="84"/>
      <c r="AE480">
        <v>6</v>
      </c>
      <c r="AF480" s="83" t="str">
        <f>REPLACE(INDEX(GroupVertices[Group],MATCH(Edges[[#This Row],[Vertex 1]],GroupVertices[Vertex],0)),1,1,"")</f>
        <v>3</v>
      </c>
      <c r="AG480" s="83" t="str">
        <f>REPLACE(INDEX(GroupVertices[Group],MATCH(Edges[[#This Row],[Vertex 2]],GroupVertices[Vertex],0)),1,1,"")</f>
        <v>3</v>
      </c>
      <c r="AH480" s="31"/>
      <c r="AI480" s="31"/>
      <c r="AJ480" s="31"/>
      <c r="AK480" s="31"/>
      <c r="AL480" s="31"/>
      <c r="AM480" s="31"/>
      <c r="AN480" s="31"/>
      <c r="AO480" s="31"/>
      <c r="AP480" s="31"/>
    </row>
    <row r="481" spans="1:42" ht="15">
      <c r="A481" s="61" t="s">
        <v>642</v>
      </c>
      <c r="B481" s="61" t="s">
        <v>642</v>
      </c>
      <c r="C481" s="62" t="s">
        <v>2892</v>
      </c>
      <c r="D481" s="63">
        <v>9.166666666666668</v>
      </c>
      <c r="E481" s="62"/>
      <c r="F481" s="65">
        <v>15</v>
      </c>
      <c r="G481" s="62"/>
      <c r="H481" s="66"/>
      <c r="I481" s="67"/>
      <c r="J481" s="67"/>
      <c r="K481" s="31" t="s">
        <v>65</v>
      </c>
      <c r="L481" s="68">
        <v>481</v>
      </c>
      <c r="M481" s="68"/>
      <c r="N481" s="69"/>
      <c r="O481" s="84" t="s">
        <v>654</v>
      </c>
      <c r="P481" s="84"/>
      <c r="Q481" s="84"/>
      <c r="R481" s="84"/>
      <c r="S481" s="84"/>
      <c r="T481" s="84"/>
      <c r="U481" s="84"/>
      <c r="V481" s="84" t="s">
        <v>1469</v>
      </c>
      <c r="W481" s="90" t="str">
        <f>HYPERLINK("https://www.youtube.com/watch?v=qztPIekPtdY")</f>
        <v>https://www.youtube.com/watch?v=qztPIekPtdY</v>
      </c>
      <c r="X481" s="84"/>
      <c r="Y481" s="84"/>
      <c r="Z481" s="93">
        <v>43230.66543981482</v>
      </c>
      <c r="AA481" s="84"/>
      <c r="AB481" s="84"/>
      <c r="AC481" s="84"/>
      <c r="AD481" s="84"/>
      <c r="AE481">
        <v>6</v>
      </c>
      <c r="AF481" s="83" t="str">
        <f>REPLACE(INDEX(GroupVertices[Group],MATCH(Edges[[#This Row],[Vertex 1]],GroupVertices[Vertex],0)),1,1,"")</f>
        <v>3</v>
      </c>
      <c r="AG481" s="83" t="str">
        <f>REPLACE(INDEX(GroupVertices[Group],MATCH(Edges[[#This Row],[Vertex 2]],GroupVertices[Vertex],0)),1,1,"")</f>
        <v>3</v>
      </c>
      <c r="AH481" s="31"/>
      <c r="AI481" s="31"/>
      <c r="AJ481" s="31"/>
      <c r="AK481" s="31"/>
      <c r="AL481" s="31"/>
      <c r="AM481" s="31"/>
      <c r="AN481" s="31"/>
      <c r="AO481" s="31"/>
      <c r="AP481" s="31"/>
    </row>
    <row r="482" spans="1:42" ht="15">
      <c r="A482" s="61" t="s">
        <v>642</v>
      </c>
      <c r="B482" s="61" t="s">
        <v>642</v>
      </c>
      <c r="C482" s="62" t="s">
        <v>2892</v>
      </c>
      <c r="D482" s="63">
        <v>9.166666666666668</v>
      </c>
      <c r="E482" s="62"/>
      <c r="F482" s="65">
        <v>15</v>
      </c>
      <c r="G482" s="62"/>
      <c r="H482" s="66"/>
      <c r="I482" s="67"/>
      <c r="J482" s="67"/>
      <c r="K482" s="31" t="s">
        <v>65</v>
      </c>
      <c r="L482" s="68">
        <v>482</v>
      </c>
      <c r="M482" s="68"/>
      <c r="N482" s="69"/>
      <c r="O482" s="84" t="s">
        <v>654</v>
      </c>
      <c r="P482" s="84"/>
      <c r="Q482" s="84"/>
      <c r="R482" s="84"/>
      <c r="S482" s="84"/>
      <c r="T482" s="84"/>
      <c r="U482" s="84"/>
      <c r="V482" s="84" t="s">
        <v>1529</v>
      </c>
      <c r="W482" s="90" t="str">
        <f>HYPERLINK("https://www.youtube.com/watch?v=w1eSm2FAqsk")</f>
        <v>https://www.youtube.com/watch?v=w1eSm2FAqsk</v>
      </c>
      <c r="X482" s="84"/>
      <c r="Y482" s="84"/>
      <c r="Z482" s="84" t="s">
        <v>1824</v>
      </c>
      <c r="AA482" s="84"/>
      <c r="AB482" s="84"/>
      <c r="AC482" s="84"/>
      <c r="AD482" s="84"/>
      <c r="AE482">
        <v>6</v>
      </c>
      <c r="AF482" s="83" t="str">
        <f>REPLACE(INDEX(GroupVertices[Group],MATCH(Edges[[#This Row],[Vertex 1]],GroupVertices[Vertex],0)),1,1,"")</f>
        <v>3</v>
      </c>
      <c r="AG482" s="83" t="str">
        <f>REPLACE(INDEX(GroupVertices[Group],MATCH(Edges[[#This Row],[Vertex 2]],GroupVertices[Vertex],0)),1,1,"")</f>
        <v>3</v>
      </c>
      <c r="AH482" s="31"/>
      <c r="AI482" s="31"/>
      <c r="AJ482" s="31"/>
      <c r="AK482" s="31"/>
      <c r="AL482" s="31"/>
      <c r="AM482" s="31"/>
      <c r="AN482" s="31"/>
      <c r="AO482" s="31"/>
      <c r="AP482" s="31"/>
    </row>
    <row r="483" spans="1:42" ht="15">
      <c r="A483" s="61" t="s">
        <v>642</v>
      </c>
      <c r="B483" s="61" t="s">
        <v>642</v>
      </c>
      <c r="C483" s="62" t="s">
        <v>2892</v>
      </c>
      <c r="D483" s="63">
        <v>9.166666666666668</v>
      </c>
      <c r="E483" s="62"/>
      <c r="F483" s="65">
        <v>15</v>
      </c>
      <c r="G483" s="62"/>
      <c r="H483" s="66"/>
      <c r="I483" s="67"/>
      <c r="J483" s="67"/>
      <c r="K483" s="31" t="s">
        <v>65</v>
      </c>
      <c r="L483" s="68">
        <v>483</v>
      </c>
      <c r="M483" s="68"/>
      <c r="N483" s="69"/>
      <c r="O483" s="84" t="s">
        <v>654</v>
      </c>
      <c r="P483" s="84"/>
      <c r="Q483" s="84"/>
      <c r="R483" s="84"/>
      <c r="S483" s="84"/>
      <c r="T483" s="84"/>
      <c r="U483" s="84"/>
      <c r="V483" s="84" t="s">
        <v>1481</v>
      </c>
      <c r="W483" s="90" t="str">
        <f>HYPERLINK("https://www.youtube.com/watch?v=grXXl_O02g8")</f>
        <v>https://www.youtube.com/watch?v=grXXl_O02g8</v>
      </c>
      <c r="X483" s="84"/>
      <c r="Y483" s="84"/>
      <c r="Z483" s="93">
        <v>43501.5971412037</v>
      </c>
      <c r="AA483" s="84"/>
      <c r="AB483" s="84"/>
      <c r="AC483" s="84"/>
      <c r="AD483" s="84"/>
      <c r="AE483">
        <v>6</v>
      </c>
      <c r="AF483" s="83" t="str">
        <f>REPLACE(INDEX(GroupVertices[Group],MATCH(Edges[[#This Row],[Vertex 1]],GroupVertices[Vertex],0)),1,1,"")</f>
        <v>3</v>
      </c>
      <c r="AG483" s="83" t="str">
        <f>REPLACE(INDEX(GroupVertices[Group],MATCH(Edges[[#This Row],[Vertex 2]],GroupVertices[Vertex],0)),1,1,"")</f>
        <v>3</v>
      </c>
      <c r="AH483" s="31"/>
      <c r="AI483" s="31"/>
      <c r="AJ483" s="31"/>
      <c r="AK483" s="31"/>
      <c r="AL483" s="31"/>
      <c r="AM483" s="31"/>
      <c r="AN483" s="31"/>
      <c r="AO483" s="31"/>
      <c r="AP483" s="31"/>
    </row>
    <row r="484" spans="1:42" ht="15">
      <c r="A484" s="61" t="s">
        <v>643</v>
      </c>
      <c r="B484" s="61" t="s">
        <v>643</v>
      </c>
      <c r="C484" s="62" t="s">
        <v>2892</v>
      </c>
      <c r="D484" s="63">
        <v>6.666666666666667</v>
      </c>
      <c r="E484" s="62"/>
      <c r="F484" s="65">
        <v>15</v>
      </c>
      <c r="G484" s="62"/>
      <c r="H484" s="66"/>
      <c r="I484" s="67"/>
      <c r="J484" s="67"/>
      <c r="K484" s="31" t="s">
        <v>65</v>
      </c>
      <c r="L484" s="68">
        <v>484</v>
      </c>
      <c r="M484" s="68"/>
      <c r="N484" s="69"/>
      <c r="O484" s="84" t="s">
        <v>654</v>
      </c>
      <c r="P484" s="84"/>
      <c r="Q484" s="84"/>
      <c r="R484" s="84"/>
      <c r="S484" s="84"/>
      <c r="T484" s="84"/>
      <c r="U484" s="84"/>
      <c r="V484" s="84" t="s">
        <v>1530</v>
      </c>
      <c r="W484" s="90" t="str">
        <f>HYPERLINK("https://www.youtube.com/watch?v=xR_V-tutJU8")</f>
        <v>https://www.youtube.com/watch?v=xR_V-tutJU8</v>
      </c>
      <c r="X484" s="84"/>
      <c r="Y484" s="84"/>
      <c r="Z484" s="93">
        <v>44991.646145833336</v>
      </c>
      <c r="AA484" s="84"/>
      <c r="AB484" s="84"/>
      <c r="AC484" s="84"/>
      <c r="AD484" s="84"/>
      <c r="AE484">
        <v>3</v>
      </c>
      <c r="AF484" s="83" t="str">
        <f>REPLACE(INDEX(GroupVertices[Group],MATCH(Edges[[#This Row],[Vertex 1]],GroupVertices[Vertex],0)),1,1,"")</f>
        <v>6</v>
      </c>
      <c r="AG484" s="83" t="str">
        <f>REPLACE(INDEX(GroupVertices[Group],MATCH(Edges[[#This Row],[Vertex 2]],GroupVertices[Vertex],0)),1,1,"")</f>
        <v>6</v>
      </c>
      <c r="AH484" s="31"/>
      <c r="AI484" s="31"/>
      <c r="AJ484" s="31"/>
      <c r="AK484" s="31"/>
      <c r="AL484" s="31"/>
      <c r="AM484" s="31"/>
      <c r="AN484" s="31"/>
      <c r="AO484" s="31"/>
      <c r="AP484" s="31"/>
    </row>
    <row r="485" spans="1:42" ht="15">
      <c r="A485" s="61" t="s">
        <v>643</v>
      </c>
      <c r="B485" s="61" t="s">
        <v>643</v>
      </c>
      <c r="C485" s="62" t="s">
        <v>2892</v>
      </c>
      <c r="D485" s="63">
        <v>6.666666666666667</v>
      </c>
      <c r="E485" s="62"/>
      <c r="F485" s="65">
        <v>15</v>
      </c>
      <c r="G485" s="62"/>
      <c r="H485" s="66"/>
      <c r="I485" s="67"/>
      <c r="J485" s="67"/>
      <c r="K485" s="31" t="s">
        <v>65</v>
      </c>
      <c r="L485" s="68">
        <v>485</v>
      </c>
      <c r="M485" s="68"/>
      <c r="N485" s="69"/>
      <c r="O485" s="84" t="s">
        <v>654</v>
      </c>
      <c r="P485" s="84"/>
      <c r="Q485" s="84"/>
      <c r="R485" s="84"/>
      <c r="S485" s="84"/>
      <c r="T485" s="84"/>
      <c r="U485" s="84"/>
      <c r="V485" s="84" t="s">
        <v>1531</v>
      </c>
      <c r="W485" s="90" t="str">
        <f>HYPERLINK("https://www.youtube.com/watch?v=Z0XbHvcalOs")</f>
        <v>https://www.youtube.com/watch?v=Z0XbHvcalOs</v>
      </c>
      <c r="X485" s="84"/>
      <c r="Y485" s="84"/>
      <c r="Z485" s="93">
        <v>45052.791817129626</v>
      </c>
      <c r="AA485" s="84"/>
      <c r="AB485" s="84"/>
      <c r="AC485" s="84"/>
      <c r="AD485" s="84"/>
      <c r="AE485">
        <v>3</v>
      </c>
      <c r="AF485" s="83" t="str">
        <f>REPLACE(INDEX(GroupVertices[Group],MATCH(Edges[[#This Row],[Vertex 1]],GroupVertices[Vertex],0)),1,1,"")</f>
        <v>6</v>
      </c>
      <c r="AG485" s="83" t="str">
        <f>REPLACE(INDEX(GroupVertices[Group],MATCH(Edges[[#This Row],[Vertex 2]],GroupVertices[Vertex],0)),1,1,"")</f>
        <v>6</v>
      </c>
      <c r="AH485" s="31"/>
      <c r="AI485" s="31"/>
      <c r="AJ485" s="31"/>
      <c r="AK485" s="31"/>
      <c r="AL485" s="31"/>
      <c r="AM485" s="31"/>
      <c r="AN485" s="31"/>
      <c r="AO485" s="31"/>
      <c r="AP485" s="31"/>
    </row>
    <row r="486" spans="1:42" ht="15">
      <c r="A486" s="61" t="s">
        <v>643</v>
      </c>
      <c r="B486" s="61" t="s">
        <v>643</v>
      </c>
      <c r="C486" s="62" t="s">
        <v>2892</v>
      </c>
      <c r="D486" s="63">
        <v>6.666666666666667</v>
      </c>
      <c r="E486" s="62"/>
      <c r="F486" s="65">
        <v>15</v>
      </c>
      <c r="G486" s="62"/>
      <c r="H486" s="66"/>
      <c r="I486" s="67"/>
      <c r="J486" s="67"/>
      <c r="K486" s="31" t="s">
        <v>65</v>
      </c>
      <c r="L486" s="68">
        <v>486</v>
      </c>
      <c r="M486" s="68"/>
      <c r="N486" s="69"/>
      <c r="O486" s="84" t="s">
        <v>654</v>
      </c>
      <c r="P486" s="84"/>
      <c r="Q486" s="84"/>
      <c r="R486" s="84"/>
      <c r="S486" s="84"/>
      <c r="T486" s="84"/>
      <c r="U486" s="84"/>
      <c r="V486" s="84" t="s">
        <v>1532</v>
      </c>
      <c r="W486" s="90" t="str">
        <f>HYPERLINK("https://www.youtube.com/watch?v=dTCqhNCYvbg")</f>
        <v>https://www.youtube.com/watch?v=dTCqhNCYvbg</v>
      </c>
      <c r="X486" s="84"/>
      <c r="Y486" s="84"/>
      <c r="Z486" s="93">
        <v>45113.79193287037</v>
      </c>
      <c r="AA486" s="84"/>
      <c r="AB486" s="84"/>
      <c r="AC486" s="84"/>
      <c r="AD486" s="84"/>
      <c r="AE486">
        <v>3</v>
      </c>
      <c r="AF486" s="83" t="str">
        <f>REPLACE(INDEX(GroupVertices[Group],MATCH(Edges[[#This Row],[Vertex 1]],GroupVertices[Vertex],0)),1,1,"")</f>
        <v>6</v>
      </c>
      <c r="AG486" s="83" t="str">
        <f>REPLACE(INDEX(GroupVertices[Group],MATCH(Edges[[#This Row],[Vertex 2]],GroupVertices[Vertex],0)),1,1,"")</f>
        <v>6</v>
      </c>
      <c r="AH486" s="31"/>
      <c r="AI486" s="31"/>
      <c r="AJ486" s="31"/>
      <c r="AK486" s="31"/>
      <c r="AL486" s="31"/>
      <c r="AM486" s="31"/>
      <c r="AN486" s="31"/>
      <c r="AO486" s="31"/>
      <c r="AP486" s="31"/>
    </row>
    <row r="487" spans="1:42" ht="15">
      <c r="A487" s="61" t="s">
        <v>644</v>
      </c>
      <c r="B487" s="61" t="s">
        <v>644</v>
      </c>
      <c r="C487" s="62" t="s">
        <v>2892</v>
      </c>
      <c r="D487" s="63">
        <v>5.833333333333333</v>
      </c>
      <c r="E487" s="62"/>
      <c r="F487" s="65">
        <v>15</v>
      </c>
      <c r="G487" s="62"/>
      <c r="H487" s="66"/>
      <c r="I487" s="67"/>
      <c r="J487" s="67"/>
      <c r="K487" s="31" t="s">
        <v>65</v>
      </c>
      <c r="L487" s="68">
        <v>487</v>
      </c>
      <c r="M487" s="68"/>
      <c r="N487" s="69"/>
      <c r="O487" s="84" t="s">
        <v>654</v>
      </c>
      <c r="P487" s="84"/>
      <c r="Q487" s="84"/>
      <c r="R487" s="84"/>
      <c r="S487" s="84"/>
      <c r="T487" s="84"/>
      <c r="U487" s="84"/>
      <c r="V487" s="84" t="s">
        <v>1478</v>
      </c>
      <c r="W487" s="90" t="str">
        <f>HYPERLINK("https://www.youtube.com/watch?v=npYopq89aZk")</f>
        <v>https://www.youtube.com/watch?v=npYopq89aZk</v>
      </c>
      <c r="X487" s="84"/>
      <c r="Y487" s="84"/>
      <c r="Z487" s="84" t="s">
        <v>1825</v>
      </c>
      <c r="AA487" s="84"/>
      <c r="AB487" s="84"/>
      <c r="AC487" s="84"/>
      <c r="AD487" s="84"/>
      <c r="AE487">
        <v>2</v>
      </c>
      <c r="AF487" s="83" t="str">
        <f>REPLACE(INDEX(GroupVertices[Group],MATCH(Edges[[#This Row],[Vertex 1]],GroupVertices[Vertex],0)),1,1,"")</f>
        <v>16</v>
      </c>
      <c r="AG487" s="83" t="str">
        <f>REPLACE(INDEX(GroupVertices[Group],MATCH(Edges[[#This Row],[Vertex 2]],GroupVertices[Vertex],0)),1,1,"")</f>
        <v>16</v>
      </c>
      <c r="AH487" s="31"/>
      <c r="AI487" s="31"/>
      <c r="AJ487" s="31"/>
      <c r="AK487" s="31"/>
      <c r="AL487" s="31"/>
      <c r="AM487" s="31"/>
      <c r="AN487" s="31"/>
      <c r="AO487" s="31"/>
      <c r="AP487" s="31"/>
    </row>
    <row r="488" spans="1:42" ht="15">
      <c r="A488" s="61" t="s">
        <v>644</v>
      </c>
      <c r="B488" s="61" t="s">
        <v>644</v>
      </c>
      <c r="C488" s="62" t="s">
        <v>2892</v>
      </c>
      <c r="D488" s="63">
        <v>5.833333333333333</v>
      </c>
      <c r="E488" s="62"/>
      <c r="F488" s="65">
        <v>15</v>
      </c>
      <c r="G488" s="62"/>
      <c r="H488" s="66"/>
      <c r="I488" s="67"/>
      <c r="J488" s="67"/>
      <c r="K488" s="31" t="s">
        <v>65</v>
      </c>
      <c r="L488" s="68">
        <v>488</v>
      </c>
      <c r="M488" s="68"/>
      <c r="N488" s="69"/>
      <c r="O488" s="84" t="s">
        <v>654</v>
      </c>
      <c r="P488" s="84"/>
      <c r="Q488" s="84"/>
      <c r="R488" s="84"/>
      <c r="S488" s="84"/>
      <c r="T488" s="84"/>
      <c r="U488" s="84"/>
      <c r="V488" s="84" t="s">
        <v>1533</v>
      </c>
      <c r="W488" s="90" t="str">
        <f>HYPERLINK("https://www.youtube.com/watch?v=V0fX5Btpfto")</f>
        <v>https://www.youtube.com/watch?v=V0fX5Btpfto</v>
      </c>
      <c r="X488" s="84"/>
      <c r="Y488" s="84"/>
      <c r="Z488" s="84" t="s">
        <v>1826</v>
      </c>
      <c r="AA488" s="84"/>
      <c r="AB488" s="84"/>
      <c r="AC488" s="84"/>
      <c r="AD488" s="84"/>
      <c r="AE488">
        <v>2</v>
      </c>
      <c r="AF488" s="83" t="str">
        <f>REPLACE(INDEX(GroupVertices[Group],MATCH(Edges[[#This Row],[Vertex 1]],GroupVertices[Vertex],0)),1,1,"")</f>
        <v>16</v>
      </c>
      <c r="AG488" s="83" t="str">
        <f>REPLACE(INDEX(GroupVertices[Group],MATCH(Edges[[#This Row],[Vertex 2]],GroupVertices[Vertex],0)),1,1,"")</f>
        <v>16</v>
      </c>
      <c r="AH488" s="31"/>
      <c r="AI488" s="31"/>
      <c r="AJ488" s="31"/>
      <c r="AK488" s="31"/>
      <c r="AL488" s="31"/>
      <c r="AM488" s="31"/>
      <c r="AN488" s="31"/>
      <c r="AO488" s="31"/>
      <c r="AP488" s="31"/>
    </row>
    <row r="489" spans="1:42" ht="15">
      <c r="A489" s="61" t="s">
        <v>645</v>
      </c>
      <c r="B489" s="61" t="s">
        <v>645</v>
      </c>
      <c r="C489" s="62" t="s">
        <v>2892</v>
      </c>
      <c r="D489" s="63">
        <v>5.833333333333333</v>
      </c>
      <c r="E489" s="62"/>
      <c r="F489" s="65">
        <v>15</v>
      </c>
      <c r="G489" s="62"/>
      <c r="H489" s="66"/>
      <c r="I489" s="67"/>
      <c r="J489" s="67"/>
      <c r="K489" s="31" t="s">
        <v>65</v>
      </c>
      <c r="L489" s="68">
        <v>489</v>
      </c>
      <c r="M489" s="68"/>
      <c r="N489" s="69"/>
      <c r="O489" s="84" t="s">
        <v>654</v>
      </c>
      <c r="P489" s="84"/>
      <c r="Q489" s="84"/>
      <c r="R489" s="84"/>
      <c r="S489" s="84"/>
      <c r="T489" s="84"/>
      <c r="U489" s="84"/>
      <c r="V489" s="84" t="s">
        <v>1534</v>
      </c>
      <c r="W489" s="90" t="str">
        <f>HYPERLINK("https://www.youtube.com/watch?v=jfI1geY1zTw")</f>
        <v>https://www.youtube.com/watch?v=jfI1geY1zTw</v>
      </c>
      <c r="X489" s="84"/>
      <c r="Y489" s="84"/>
      <c r="Z489" s="93">
        <v>44928.39586805556</v>
      </c>
      <c r="AA489" s="84"/>
      <c r="AB489" s="84"/>
      <c r="AC489" s="84"/>
      <c r="AD489" s="84"/>
      <c r="AE489">
        <v>2</v>
      </c>
      <c r="AF489" s="83" t="str">
        <f>REPLACE(INDEX(GroupVertices[Group],MATCH(Edges[[#This Row],[Vertex 1]],GroupVertices[Vertex],0)),1,1,"")</f>
        <v>20</v>
      </c>
      <c r="AG489" s="83" t="str">
        <f>REPLACE(INDEX(GroupVertices[Group],MATCH(Edges[[#This Row],[Vertex 2]],GroupVertices[Vertex],0)),1,1,"")</f>
        <v>20</v>
      </c>
      <c r="AH489" s="31"/>
      <c r="AI489" s="31"/>
      <c r="AJ489" s="31"/>
      <c r="AK489" s="31"/>
      <c r="AL489" s="31"/>
      <c r="AM489" s="31"/>
      <c r="AN489" s="31"/>
      <c r="AO489" s="31"/>
      <c r="AP489" s="31"/>
    </row>
    <row r="490" spans="1:42" ht="15">
      <c r="A490" s="61" t="s">
        <v>645</v>
      </c>
      <c r="B490" s="61" t="s">
        <v>645</v>
      </c>
      <c r="C490" s="62" t="s">
        <v>2892</v>
      </c>
      <c r="D490" s="63">
        <v>5.833333333333333</v>
      </c>
      <c r="E490" s="62"/>
      <c r="F490" s="65">
        <v>15</v>
      </c>
      <c r="G490" s="62"/>
      <c r="H490" s="66"/>
      <c r="I490" s="67"/>
      <c r="J490" s="67"/>
      <c r="K490" s="31" t="s">
        <v>65</v>
      </c>
      <c r="L490" s="68">
        <v>490</v>
      </c>
      <c r="M490" s="68"/>
      <c r="N490" s="69"/>
      <c r="O490" s="84" t="s">
        <v>654</v>
      </c>
      <c r="P490" s="84"/>
      <c r="Q490" s="84"/>
      <c r="R490" s="84"/>
      <c r="S490" s="84"/>
      <c r="T490" s="84"/>
      <c r="U490" s="84"/>
      <c r="V490" s="84" t="s">
        <v>1482</v>
      </c>
      <c r="W490" s="90" t="str">
        <f>HYPERLINK("https://www.youtube.com/watch?v=4aS_seNXq2s")</f>
        <v>https://www.youtube.com/watch?v=4aS_seNXq2s</v>
      </c>
      <c r="X490" s="84"/>
      <c r="Y490" s="84"/>
      <c r="Z490" s="84" t="s">
        <v>1827</v>
      </c>
      <c r="AA490" s="84"/>
      <c r="AB490" s="84"/>
      <c r="AC490" s="84"/>
      <c r="AD490" s="84"/>
      <c r="AE490">
        <v>2</v>
      </c>
      <c r="AF490" s="83" t="str">
        <f>REPLACE(INDEX(GroupVertices[Group],MATCH(Edges[[#This Row],[Vertex 1]],GroupVertices[Vertex],0)),1,1,"")</f>
        <v>20</v>
      </c>
      <c r="AG490" s="83" t="str">
        <f>REPLACE(INDEX(GroupVertices[Group],MATCH(Edges[[#This Row],[Vertex 2]],GroupVertices[Vertex],0)),1,1,"")</f>
        <v>20</v>
      </c>
      <c r="AH490" s="31"/>
      <c r="AI490" s="31"/>
      <c r="AJ490" s="31"/>
      <c r="AK490" s="31"/>
      <c r="AL490" s="31"/>
      <c r="AM490" s="31"/>
      <c r="AN490" s="31"/>
      <c r="AO490" s="31"/>
      <c r="AP490" s="31"/>
    </row>
    <row r="491" spans="1:42" ht="15">
      <c r="A491" s="61" t="s">
        <v>646</v>
      </c>
      <c r="B491" s="61" t="s">
        <v>628</v>
      </c>
      <c r="C491" s="62" t="s">
        <v>2891</v>
      </c>
      <c r="D491" s="63">
        <v>5</v>
      </c>
      <c r="E491" s="62"/>
      <c r="F491" s="65">
        <v>25</v>
      </c>
      <c r="G491" s="62"/>
      <c r="H491" s="66"/>
      <c r="I491" s="67"/>
      <c r="J491" s="67"/>
      <c r="K491" s="31" t="s">
        <v>65</v>
      </c>
      <c r="L491" s="68">
        <v>491</v>
      </c>
      <c r="M491" s="68"/>
      <c r="N491" s="69"/>
      <c r="O491" s="84" t="s">
        <v>653</v>
      </c>
      <c r="P491" s="84" t="s">
        <v>215</v>
      </c>
      <c r="Q491" s="88" t="s">
        <v>1063</v>
      </c>
      <c r="R491" s="84" t="s">
        <v>646</v>
      </c>
      <c r="S491" s="84" t="s">
        <v>1449</v>
      </c>
      <c r="T491" s="90" t="str">
        <f>HYPERLINK("http://www.youtube.com/channel/UCZesqSx5h4QieDviYJPF_bA")</f>
        <v>http://www.youtube.com/channel/UCZesqSx5h4QieDviYJPF_bA</v>
      </c>
      <c r="U491" s="84"/>
      <c r="V491" s="84" t="s">
        <v>1486</v>
      </c>
      <c r="W491" s="90" t="str">
        <f>HYPERLINK("https://www.youtube.com/watch?v=jc7x06un0jc")</f>
        <v>https://www.youtube.com/watch?v=jc7x06un0jc</v>
      </c>
      <c r="X491" s="84" t="s">
        <v>1537</v>
      </c>
      <c r="Y491" s="84">
        <v>1</v>
      </c>
      <c r="Z491" s="84" t="s">
        <v>1828</v>
      </c>
      <c r="AA491" s="84" t="s">
        <v>1828</v>
      </c>
      <c r="AB491" s="84"/>
      <c r="AC491" s="84"/>
      <c r="AD491" s="88" t="s">
        <v>1874</v>
      </c>
      <c r="AE491" s="86">
        <v>1</v>
      </c>
      <c r="AF491" s="87" t="str">
        <f>REPLACE(INDEX(GroupVertices[Group],MATCH(Edges[[#This Row],[Vertex 1]],GroupVertices[Vertex],0)),1,1,"")</f>
        <v>9</v>
      </c>
      <c r="AG491" s="87" t="str">
        <f>REPLACE(INDEX(GroupVertices[Group],MATCH(Edges[[#This Row],[Vertex 2]],GroupVertices[Vertex],0)),1,1,"")</f>
        <v>9</v>
      </c>
      <c r="AH491" s="105"/>
      <c r="AI491" s="105"/>
      <c r="AJ491" s="105"/>
      <c r="AK491" s="105"/>
      <c r="AL491" s="105"/>
      <c r="AM491" s="105"/>
      <c r="AN491" s="105"/>
      <c r="AO491" s="105"/>
      <c r="AP491" s="105"/>
    </row>
    <row r="492" spans="1:42" ht="15">
      <c r="A492" s="61" t="s">
        <v>646</v>
      </c>
      <c r="B492" s="61" t="s">
        <v>646</v>
      </c>
      <c r="C492" s="62" t="s">
        <v>2891</v>
      </c>
      <c r="D492" s="63">
        <v>5</v>
      </c>
      <c r="E492" s="62"/>
      <c r="F492" s="65">
        <v>25</v>
      </c>
      <c r="G492" s="62"/>
      <c r="H492" s="66"/>
      <c r="I492" s="67"/>
      <c r="J492" s="67"/>
      <c r="K492" s="31" t="s">
        <v>65</v>
      </c>
      <c r="L492" s="68">
        <v>492</v>
      </c>
      <c r="M492" s="68"/>
      <c r="N492" s="69"/>
      <c r="O492" s="84" t="s">
        <v>654</v>
      </c>
      <c r="P492" s="84"/>
      <c r="Q492" s="84"/>
      <c r="R492" s="84"/>
      <c r="S492" s="84"/>
      <c r="T492" s="84"/>
      <c r="U492" s="84"/>
      <c r="V492" s="84" t="s">
        <v>1535</v>
      </c>
      <c r="W492" s="90" t="str">
        <f>HYPERLINK("https://www.youtube.com/watch?v=7fDc1QcIOt0")</f>
        <v>https://www.youtube.com/watch?v=7fDc1QcIOt0</v>
      </c>
      <c r="X492" s="84"/>
      <c r="Y492" s="84"/>
      <c r="Z492" s="84" t="s">
        <v>1829</v>
      </c>
      <c r="AA492" s="84"/>
      <c r="AB492" s="84"/>
      <c r="AC492" s="84"/>
      <c r="AD492" s="84"/>
      <c r="AE492">
        <v>1</v>
      </c>
      <c r="AF492" s="83" t="str">
        <f>REPLACE(INDEX(GroupVertices[Group],MATCH(Edges[[#This Row],[Vertex 1]],GroupVertices[Vertex],0)),1,1,"")</f>
        <v>9</v>
      </c>
      <c r="AG492" s="83" t="str">
        <f>REPLACE(INDEX(GroupVertices[Group],MATCH(Edges[[#This Row],[Vertex 2]],GroupVertices[Vertex],0)),1,1,"")</f>
        <v>9</v>
      </c>
      <c r="AH492" s="31"/>
      <c r="AI492" s="31"/>
      <c r="AJ492" s="31"/>
      <c r="AK492" s="31"/>
      <c r="AL492" s="31"/>
      <c r="AM492" s="31"/>
      <c r="AN492" s="31"/>
      <c r="AO492" s="31"/>
      <c r="AP492" s="31"/>
    </row>
    <row r="493" spans="1:42" ht="15">
      <c r="A493" s="61" t="s">
        <v>647</v>
      </c>
      <c r="B493" s="61" t="s">
        <v>647</v>
      </c>
      <c r="C493" s="62" t="s">
        <v>2891</v>
      </c>
      <c r="D493" s="63">
        <v>5</v>
      </c>
      <c r="E493" s="62"/>
      <c r="F493" s="65">
        <v>25</v>
      </c>
      <c r="G493" s="62"/>
      <c r="H493" s="66"/>
      <c r="I493" s="67"/>
      <c r="J493" s="67"/>
      <c r="K493" s="31" t="s">
        <v>65</v>
      </c>
      <c r="L493" s="68">
        <v>493</v>
      </c>
      <c r="M493" s="68"/>
      <c r="N493" s="69"/>
      <c r="O493" s="84" t="s">
        <v>654</v>
      </c>
      <c r="P493" s="84"/>
      <c r="Q493" s="84"/>
      <c r="R493" s="84"/>
      <c r="S493" s="84"/>
      <c r="T493" s="84"/>
      <c r="U493" s="84"/>
      <c r="V493" s="84" t="s">
        <v>1483</v>
      </c>
      <c r="W493" s="90" t="str">
        <f>HYPERLINK("https://www.youtube.com/watch?v=wx8RJaoVN0M")</f>
        <v>https://www.youtube.com/watch?v=wx8RJaoVN0M</v>
      </c>
      <c r="X493" s="84"/>
      <c r="Y493" s="84"/>
      <c r="Z493" s="93">
        <v>43313.62939814815</v>
      </c>
      <c r="AA493" s="84"/>
      <c r="AB493" s="84"/>
      <c r="AC493" s="84"/>
      <c r="AD493" s="84"/>
      <c r="AE493">
        <v>1</v>
      </c>
      <c r="AF493" s="83" t="str">
        <f>REPLACE(INDEX(GroupVertices[Group],MATCH(Edges[[#This Row],[Vertex 1]],GroupVertices[Vertex],0)),1,1,"")</f>
        <v>8</v>
      </c>
      <c r="AG493" s="83" t="str">
        <f>REPLACE(INDEX(GroupVertices[Group],MATCH(Edges[[#This Row],[Vertex 2]],GroupVertices[Vertex],0)),1,1,"")</f>
        <v>8</v>
      </c>
      <c r="AH493" s="31"/>
      <c r="AI493" s="31"/>
      <c r="AJ493" s="31"/>
      <c r="AK493" s="31"/>
      <c r="AL493" s="31"/>
      <c r="AM493" s="31"/>
      <c r="AN493" s="31"/>
      <c r="AO493" s="31"/>
      <c r="AP493" s="31"/>
    </row>
    <row r="494" spans="1:42" ht="15">
      <c r="A494" s="61" t="s">
        <v>648</v>
      </c>
      <c r="B494" s="61" t="s">
        <v>648</v>
      </c>
      <c r="C494" s="62" t="s">
        <v>2891</v>
      </c>
      <c r="D494" s="63">
        <v>5</v>
      </c>
      <c r="E494" s="62"/>
      <c r="F494" s="65">
        <v>25</v>
      </c>
      <c r="G494" s="62"/>
      <c r="H494" s="66"/>
      <c r="I494" s="67"/>
      <c r="J494" s="67"/>
      <c r="K494" s="31" t="s">
        <v>65</v>
      </c>
      <c r="L494" s="68">
        <v>494</v>
      </c>
      <c r="M494" s="68"/>
      <c r="N494" s="69"/>
      <c r="O494" s="84" t="s">
        <v>654</v>
      </c>
      <c r="P494" s="84"/>
      <c r="Q494" s="84"/>
      <c r="R494" s="84"/>
      <c r="S494" s="84"/>
      <c r="T494" s="84"/>
      <c r="U494" s="84"/>
      <c r="V494" s="84" t="s">
        <v>1536</v>
      </c>
      <c r="W494" s="90" t="str">
        <f>HYPERLINK("https://www.youtube.com/watch?v=ap_c9yoi6VU")</f>
        <v>https://www.youtube.com/watch?v=ap_c9yoi6VU</v>
      </c>
      <c r="X494" s="84"/>
      <c r="Y494" s="84"/>
      <c r="Z494" s="84" t="s">
        <v>1830</v>
      </c>
      <c r="AA494" s="84"/>
      <c r="AB494" s="84"/>
      <c r="AC494" s="84"/>
      <c r="AD494" s="84"/>
      <c r="AE494">
        <v>1</v>
      </c>
      <c r="AF494" s="83" t="str">
        <f>REPLACE(INDEX(GroupVertices[Group],MATCH(Edges[[#This Row],[Vertex 1]],GroupVertices[Vertex],0)),1,1,"")</f>
        <v>6</v>
      </c>
      <c r="AG494" s="83" t="str">
        <f>REPLACE(INDEX(GroupVertices[Group],MATCH(Edges[[#This Row],[Vertex 2]],GroupVertices[Vertex],0)),1,1,"")</f>
        <v>6</v>
      </c>
      <c r="AH494" s="31"/>
      <c r="AI494" s="31"/>
      <c r="AJ494" s="31"/>
      <c r="AK494" s="31"/>
      <c r="AL494" s="31"/>
      <c r="AM494" s="31"/>
      <c r="AN494" s="31"/>
      <c r="AO494" s="31"/>
      <c r="AP494" s="31"/>
    </row>
    <row r="495" spans="1:42" ht="15">
      <c r="A495" s="61" t="s">
        <v>649</v>
      </c>
      <c r="B495" s="61" t="s">
        <v>649</v>
      </c>
      <c r="C495" s="62" t="s">
        <v>2892</v>
      </c>
      <c r="D495" s="63">
        <v>5.833333333333333</v>
      </c>
      <c r="E495" s="62"/>
      <c r="F495" s="65">
        <v>15</v>
      </c>
      <c r="G495" s="62"/>
      <c r="H495" s="66"/>
      <c r="I495" s="67"/>
      <c r="J495" s="67"/>
      <c r="K495" s="31" t="s">
        <v>65</v>
      </c>
      <c r="L495" s="68">
        <v>495</v>
      </c>
      <c r="M495" s="68"/>
      <c r="N495" s="69"/>
      <c r="O495" s="84" t="s">
        <v>653</v>
      </c>
      <c r="P495" s="84" t="s">
        <v>215</v>
      </c>
      <c r="Q495" s="88" t="s">
        <v>1064</v>
      </c>
      <c r="R495" s="84" t="s">
        <v>649</v>
      </c>
      <c r="S495" s="84" t="s">
        <v>1450</v>
      </c>
      <c r="T495" s="90" t="str">
        <f>HYPERLINK("http://www.youtube.com/channel/UCoUh_xk2m2IaRRgV-hwDaoA")</f>
        <v>http://www.youtube.com/channel/UCoUh_xk2m2IaRRgV-hwDaoA</v>
      </c>
      <c r="U495" s="84"/>
      <c r="V495" s="84" t="s">
        <v>1484</v>
      </c>
      <c r="W495" s="90" t="str">
        <f>HYPERLINK("https://www.youtube.com/watch?v=61Q_HzqcGtk")</f>
        <v>https://www.youtube.com/watch?v=61Q_HzqcGtk</v>
      </c>
      <c r="X495" s="84" t="s">
        <v>1537</v>
      </c>
      <c r="Y495" s="84">
        <v>0</v>
      </c>
      <c r="Z495" s="84" t="s">
        <v>1831</v>
      </c>
      <c r="AA495" s="84" t="s">
        <v>1831</v>
      </c>
      <c r="AB495" s="84"/>
      <c r="AC495" s="84"/>
      <c r="AD495" s="88" t="s">
        <v>1874</v>
      </c>
      <c r="AE495" s="86">
        <v>2</v>
      </c>
      <c r="AF495" s="87" t="str">
        <f>REPLACE(INDEX(GroupVertices[Group],MATCH(Edges[[#This Row],[Vertex 1]],GroupVertices[Vertex],0)),1,1,"")</f>
        <v>7</v>
      </c>
      <c r="AG495" s="87" t="str">
        <f>REPLACE(INDEX(GroupVertices[Group],MATCH(Edges[[#This Row],[Vertex 2]],GroupVertices[Vertex],0)),1,1,"")</f>
        <v>7</v>
      </c>
      <c r="AH495" s="105"/>
      <c r="AI495" s="105"/>
      <c r="AJ495" s="105"/>
      <c r="AK495" s="105"/>
      <c r="AL495" s="105"/>
      <c r="AM495" s="105"/>
      <c r="AN495" s="105"/>
      <c r="AO495" s="105"/>
      <c r="AP495" s="105"/>
    </row>
    <row r="496" spans="1:42" ht="15">
      <c r="A496" s="61" t="s">
        <v>649</v>
      </c>
      <c r="B496" s="61" t="s">
        <v>649</v>
      </c>
      <c r="C496" s="62" t="s">
        <v>2892</v>
      </c>
      <c r="D496" s="63">
        <v>5.833333333333333</v>
      </c>
      <c r="E496" s="62"/>
      <c r="F496" s="65">
        <v>15</v>
      </c>
      <c r="G496" s="62"/>
      <c r="H496" s="66"/>
      <c r="I496" s="67"/>
      <c r="J496" s="67"/>
      <c r="K496" s="31" t="s">
        <v>65</v>
      </c>
      <c r="L496" s="68">
        <v>496</v>
      </c>
      <c r="M496" s="68"/>
      <c r="N496" s="69"/>
      <c r="O496" s="84" t="s">
        <v>653</v>
      </c>
      <c r="P496" s="84" t="s">
        <v>215</v>
      </c>
      <c r="Q496" s="88" t="s">
        <v>1065</v>
      </c>
      <c r="R496" s="84" t="s">
        <v>649</v>
      </c>
      <c r="S496" s="84" t="s">
        <v>1450</v>
      </c>
      <c r="T496" s="90" t="str">
        <f>HYPERLINK("http://www.youtube.com/channel/UCoUh_xk2m2IaRRgV-hwDaoA")</f>
        <v>http://www.youtube.com/channel/UCoUh_xk2m2IaRRgV-hwDaoA</v>
      </c>
      <c r="U496" s="84"/>
      <c r="V496" s="84" t="s">
        <v>1484</v>
      </c>
      <c r="W496" s="90" t="str">
        <f>HYPERLINK("https://www.youtube.com/watch?v=61Q_HzqcGtk")</f>
        <v>https://www.youtube.com/watch?v=61Q_HzqcGtk</v>
      </c>
      <c r="X496" s="84" t="s">
        <v>1537</v>
      </c>
      <c r="Y496" s="84">
        <v>0</v>
      </c>
      <c r="Z496" s="84" t="s">
        <v>1832</v>
      </c>
      <c r="AA496" s="84" t="s">
        <v>1832</v>
      </c>
      <c r="AB496" s="84"/>
      <c r="AC496" s="84"/>
      <c r="AD496" s="88" t="s">
        <v>1874</v>
      </c>
      <c r="AE496" s="86">
        <v>2</v>
      </c>
      <c r="AF496" s="87" t="str">
        <f>REPLACE(INDEX(GroupVertices[Group],MATCH(Edges[[#This Row],[Vertex 1]],GroupVertices[Vertex],0)),1,1,"")</f>
        <v>7</v>
      </c>
      <c r="AG496" s="87" t="str">
        <f>REPLACE(INDEX(GroupVertices[Group],MATCH(Edges[[#This Row],[Vertex 2]],GroupVertices[Vertex],0)),1,1,"")</f>
        <v>7</v>
      </c>
      <c r="AH496" s="105"/>
      <c r="AI496" s="105"/>
      <c r="AJ496" s="105"/>
      <c r="AK496" s="105"/>
      <c r="AL496" s="105"/>
      <c r="AM496" s="105"/>
      <c r="AN496" s="105"/>
      <c r="AO496" s="105"/>
      <c r="AP496" s="105"/>
    </row>
    <row r="497" spans="1:42" ht="15">
      <c r="A497" s="61" t="s">
        <v>649</v>
      </c>
      <c r="B497" s="61" t="s">
        <v>649</v>
      </c>
      <c r="C497" s="62" t="s">
        <v>2891</v>
      </c>
      <c r="D497" s="63">
        <v>5</v>
      </c>
      <c r="E497" s="62"/>
      <c r="F497" s="65">
        <v>25</v>
      </c>
      <c r="G497" s="62"/>
      <c r="H497" s="66"/>
      <c r="I497" s="67"/>
      <c r="J497" s="67"/>
      <c r="K497" s="31" t="s">
        <v>65</v>
      </c>
      <c r="L497" s="68">
        <v>497</v>
      </c>
      <c r="M497" s="68"/>
      <c r="N497" s="69"/>
      <c r="O497" s="84" t="s">
        <v>654</v>
      </c>
      <c r="P497" s="84"/>
      <c r="Q497" s="84"/>
      <c r="R497" s="84"/>
      <c r="S497" s="84"/>
      <c r="T497" s="84"/>
      <c r="U497" s="84"/>
      <c r="V497" s="84" t="s">
        <v>1484</v>
      </c>
      <c r="W497" s="90" t="str">
        <f>HYPERLINK("https://www.youtube.com/watch?v=61Q_HzqcGtk")</f>
        <v>https://www.youtube.com/watch?v=61Q_HzqcGtk</v>
      </c>
      <c r="X497" s="84"/>
      <c r="Y497" s="84"/>
      <c r="Z497" s="84" t="s">
        <v>1833</v>
      </c>
      <c r="AA497" s="84"/>
      <c r="AB497" s="84"/>
      <c r="AC497" s="84"/>
      <c r="AD497" s="84"/>
      <c r="AE497">
        <v>1</v>
      </c>
      <c r="AF497" s="83" t="str">
        <f>REPLACE(INDEX(GroupVertices[Group],MATCH(Edges[[#This Row],[Vertex 1]],GroupVertices[Vertex],0)),1,1,"")</f>
        <v>7</v>
      </c>
      <c r="AG497" s="83" t="str">
        <f>REPLACE(INDEX(GroupVertices[Group],MATCH(Edges[[#This Row],[Vertex 2]],GroupVertices[Vertex],0)),1,1,"")</f>
        <v>7</v>
      </c>
      <c r="AH497" s="31"/>
      <c r="AI497" s="31"/>
      <c r="AJ497" s="31"/>
      <c r="AK497" s="31"/>
      <c r="AL497" s="31"/>
      <c r="AM497" s="31"/>
      <c r="AN497" s="31"/>
      <c r="AO497" s="31"/>
      <c r="AP497" s="31"/>
    </row>
    <row r="498" spans="1:42" ht="15">
      <c r="A498" s="61" t="s">
        <v>628</v>
      </c>
      <c r="B498" s="61" t="s">
        <v>628</v>
      </c>
      <c r="C498" s="62" t="s">
        <v>2892</v>
      </c>
      <c r="D498" s="63">
        <v>5.833333333333333</v>
      </c>
      <c r="E498" s="62"/>
      <c r="F498" s="65">
        <v>15</v>
      </c>
      <c r="G498" s="62"/>
      <c r="H498" s="66"/>
      <c r="I498" s="67"/>
      <c r="J498" s="67"/>
      <c r="K498" s="31" t="s">
        <v>65</v>
      </c>
      <c r="L498" s="68">
        <v>498</v>
      </c>
      <c r="M498" s="68"/>
      <c r="N498" s="69"/>
      <c r="O498" s="84" t="s">
        <v>654</v>
      </c>
      <c r="P498" s="84"/>
      <c r="Q498" s="84"/>
      <c r="R498" s="84"/>
      <c r="S498" s="84"/>
      <c r="T498" s="84"/>
      <c r="U498" s="84"/>
      <c r="V498" s="84" t="s">
        <v>1485</v>
      </c>
      <c r="W498" s="90" t="str">
        <f>HYPERLINK("https://www.youtube.com/watch?v=9YuiY3zlglo")</f>
        <v>https://www.youtube.com/watch?v=9YuiY3zlglo</v>
      </c>
      <c r="X498" s="84"/>
      <c r="Y498" s="84"/>
      <c r="Z498" s="93">
        <v>44082.886087962965</v>
      </c>
      <c r="AA498" s="84"/>
      <c r="AB498" s="84"/>
      <c r="AC498" s="84"/>
      <c r="AD498" s="84"/>
      <c r="AE498">
        <v>2</v>
      </c>
      <c r="AF498" s="83" t="str">
        <f>REPLACE(INDEX(GroupVertices[Group],MATCH(Edges[[#This Row],[Vertex 1]],GroupVertices[Vertex],0)),1,1,"")</f>
        <v>9</v>
      </c>
      <c r="AG498" s="83" t="str">
        <f>REPLACE(INDEX(GroupVertices[Group],MATCH(Edges[[#This Row],[Vertex 2]],GroupVertices[Vertex],0)),1,1,"")</f>
        <v>9</v>
      </c>
      <c r="AH498" s="31"/>
      <c r="AI498" s="31"/>
      <c r="AJ498" s="31"/>
      <c r="AK498" s="31"/>
      <c r="AL498" s="31"/>
      <c r="AM498" s="31"/>
      <c r="AN498" s="31"/>
      <c r="AO498" s="31"/>
      <c r="AP498" s="31"/>
    </row>
    <row r="499" spans="1:42" ht="15">
      <c r="A499" s="61" t="s">
        <v>628</v>
      </c>
      <c r="B499" s="61" t="s">
        <v>628</v>
      </c>
      <c r="C499" s="62" t="s">
        <v>2892</v>
      </c>
      <c r="D499" s="63">
        <v>5.833333333333333</v>
      </c>
      <c r="E499" s="62"/>
      <c r="F499" s="65">
        <v>15</v>
      </c>
      <c r="G499" s="62"/>
      <c r="H499" s="66"/>
      <c r="I499" s="67"/>
      <c r="J499" s="67"/>
      <c r="K499" s="31" t="s">
        <v>65</v>
      </c>
      <c r="L499" s="68">
        <v>499</v>
      </c>
      <c r="M499" s="68"/>
      <c r="N499" s="69"/>
      <c r="O499" s="84" t="s">
        <v>654</v>
      </c>
      <c r="P499" s="84"/>
      <c r="Q499" s="84"/>
      <c r="R499" s="84"/>
      <c r="S499" s="84"/>
      <c r="T499" s="84"/>
      <c r="U499" s="84"/>
      <c r="V499" s="84" t="s">
        <v>1486</v>
      </c>
      <c r="W499" s="90" t="str">
        <f>HYPERLINK("https://www.youtube.com/watch?v=jc7x06un0jc")</f>
        <v>https://www.youtube.com/watch?v=jc7x06un0jc</v>
      </c>
      <c r="X499" s="84"/>
      <c r="Y499" s="84"/>
      <c r="Z499" s="93">
        <v>44845.63076388889</v>
      </c>
      <c r="AA499" s="84"/>
      <c r="AB499" s="84"/>
      <c r="AC499" s="84"/>
      <c r="AD499" s="84"/>
      <c r="AE499">
        <v>2</v>
      </c>
      <c r="AF499" s="83" t="str">
        <f>REPLACE(INDEX(GroupVertices[Group],MATCH(Edges[[#This Row],[Vertex 1]],GroupVertices[Vertex],0)),1,1,"")</f>
        <v>9</v>
      </c>
      <c r="AG499" s="83" t="str">
        <f>REPLACE(INDEX(GroupVertices[Group],MATCH(Edges[[#This Row],[Vertex 2]],GroupVertices[Vertex],0)),1,1,"")</f>
        <v>9</v>
      </c>
      <c r="AH499" s="31"/>
      <c r="AI499" s="31"/>
      <c r="AJ499" s="31"/>
      <c r="AK499" s="31"/>
      <c r="AL499" s="31"/>
      <c r="AM499" s="31"/>
      <c r="AN499" s="31"/>
      <c r="AO499" s="31"/>
      <c r="AP499" s="31"/>
    </row>
    <row r="500" spans="1:42" ht="15">
      <c r="A500" s="61" t="s">
        <v>650</v>
      </c>
      <c r="B500" s="61" t="s">
        <v>650</v>
      </c>
      <c r="C500" s="62" t="s">
        <v>2891</v>
      </c>
      <c r="D500" s="63">
        <v>5</v>
      </c>
      <c r="E500" s="62"/>
      <c r="F500" s="65">
        <v>25</v>
      </c>
      <c r="G500" s="62"/>
      <c r="H500" s="66"/>
      <c r="I500" s="67"/>
      <c r="J500" s="67"/>
      <c r="K500" s="31" t="s">
        <v>65</v>
      </c>
      <c r="L500" s="68">
        <v>500</v>
      </c>
      <c r="M500" s="68"/>
      <c r="N500" s="69"/>
      <c r="O500" s="84" t="s">
        <v>654</v>
      </c>
      <c r="P500" s="84"/>
      <c r="Q500" s="84"/>
      <c r="R500" s="84"/>
      <c r="S500" s="84"/>
      <c r="T500" s="84"/>
      <c r="U500" s="84"/>
      <c r="V500" s="84" t="s">
        <v>1487</v>
      </c>
      <c r="W500" s="90" t="str">
        <f>HYPERLINK("https://www.youtube.com/watch?v=lBULLJFAT50")</f>
        <v>https://www.youtube.com/watch?v=lBULLJFAT50</v>
      </c>
      <c r="X500" s="84"/>
      <c r="Y500" s="84"/>
      <c r="Z500" s="84" t="s">
        <v>1834</v>
      </c>
      <c r="AA500" s="84"/>
      <c r="AB500" s="84"/>
      <c r="AC500" s="84"/>
      <c r="AD500" s="84"/>
      <c r="AE500">
        <v>1</v>
      </c>
      <c r="AF500" s="83" t="str">
        <f>REPLACE(INDEX(GroupVertices[Group],MATCH(Edges[[#This Row],[Vertex 1]],GroupVertices[Vertex],0)),1,1,"")</f>
        <v>2</v>
      </c>
      <c r="AG500" s="83" t="str">
        <f>REPLACE(INDEX(GroupVertices[Group],MATCH(Edges[[#This Row],[Vertex 2]],GroupVertices[Vertex],0)),1,1,"")</f>
        <v>2</v>
      </c>
      <c r="AH500" s="31"/>
      <c r="AI500" s="31"/>
      <c r="AJ500" s="31"/>
      <c r="AK500" s="31"/>
      <c r="AL500" s="31"/>
      <c r="AM500" s="31"/>
      <c r="AN500" s="31"/>
      <c r="AO500" s="31"/>
      <c r="AP500" s="31"/>
    </row>
    <row r="501" spans="1:42" ht="15">
      <c r="A501" s="75" t="s">
        <v>651</v>
      </c>
      <c r="B501" s="75" t="s">
        <v>651</v>
      </c>
      <c r="C501" s="76" t="s">
        <v>2891</v>
      </c>
      <c r="D501" s="77">
        <v>5</v>
      </c>
      <c r="E501" s="76"/>
      <c r="F501" s="78">
        <v>25</v>
      </c>
      <c r="G501" s="76"/>
      <c r="H501" s="79"/>
      <c r="I501" s="80"/>
      <c r="J501" s="80"/>
      <c r="K501" s="31" t="s">
        <v>65</v>
      </c>
      <c r="L501" s="81">
        <v>501</v>
      </c>
      <c r="M501" s="81"/>
      <c r="N501" s="82"/>
      <c r="O501" s="85" t="s">
        <v>654</v>
      </c>
      <c r="P501" s="85"/>
      <c r="Q501" s="85"/>
      <c r="R501" s="85"/>
      <c r="S501" s="85"/>
      <c r="T501" s="85"/>
      <c r="U501" s="85"/>
      <c r="V501" s="85" t="s">
        <v>1488</v>
      </c>
      <c r="W501" s="91" t="str">
        <f>HYPERLINK("https://www.youtube.com/watch?v=f9psILoYmCc")</f>
        <v>https://www.youtube.com/watch?v=f9psILoYmCc</v>
      </c>
      <c r="X501" s="85"/>
      <c r="Y501" s="85"/>
      <c r="Z501" s="85" t="s">
        <v>1835</v>
      </c>
      <c r="AA501" s="85"/>
      <c r="AB501" s="85"/>
      <c r="AC501" s="85"/>
      <c r="AD501" s="85"/>
      <c r="AE501">
        <v>1</v>
      </c>
      <c r="AF501" s="83" t="str">
        <f>REPLACE(INDEX(GroupVertices[Group],MATCH(Edges[[#This Row],[Vertex 1]],GroupVertices[Vertex],0)),1,1,"")</f>
        <v>1</v>
      </c>
      <c r="AG501" s="83" t="str">
        <f>REPLACE(INDEX(GroupVertices[Group],MATCH(Edges[[#This Row],[Vertex 2]],GroupVertices[Vertex],0)),1,1,"")</f>
        <v>1</v>
      </c>
      <c r="AH501" s="31"/>
      <c r="AI501" s="31"/>
      <c r="AJ501" s="31"/>
      <c r="AK501" s="31"/>
      <c r="AL501" s="31"/>
      <c r="AM501" s="31"/>
      <c r="AN501" s="31"/>
      <c r="AO501" s="31"/>
      <c r="AP501" s="3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1"/>
    <dataValidation allowBlank="1" showErrorMessage="1" sqref="N2:N50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1"/>
    <dataValidation allowBlank="1" showInputMessage="1" promptTitle="Edge Color" prompt="To select an optional edge color, right-click and select Select Color on the right-click menu." sqref="C3:C501"/>
    <dataValidation allowBlank="1" showInputMessage="1" promptTitle="Edge Width" prompt="Enter an optional edge width between 1 and 10." errorTitle="Invalid Edge Width" error="The optional edge width must be a whole number between 1 and 10." sqref="D3:D501"/>
    <dataValidation allowBlank="1" showInputMessage="1" promptTitle="Edge Opacity" prompt="Enter an optional edge opacity between 0 (transparent) and 100 (opaque)." errorTitle="Invalid Edge Opacity" error="The optional edge opacity must be a whole number between 0 and 10." sqref="F3:F50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1">
      <formula1>ValidEdgeVisibilities</formula1>
    </dataValidation>
    <dataValidation allowBlank="1" showInputMessage="1" showErrorMessage="1" promptTitle="Vertex 1 Name" prompt="Enter the name of the edge's first vertex." sqref="A3:A501"/>
    <dataValidation allowBlank="1" showInputMessage="1" showErrorMessage="1" promptTitle="Vertex 2 Name" prompt="Enter the name of the edge's second vertex." sqref="B3:B501"/>
    <dataValidation allowBlank="1" showInputMessage="1" showErrorMessage="1" promptTitle="Edge Label" prompt="Enter an optional edge label." errorTitle="Invalid Edge Visibility" error="You have entered an unrecognized edge visibility.  Try selecting from the drop-down list instead." sqref="H3:H50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738EF-4494-40AF-A8AB-257788DF62AD}">
  <dimension ref="A1:C25"/>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0" t="s">
        <v>42</v>
      </c>
    </row>
    <row r="2" spans="1:3" ht="14.4" customHeight="1">
      <c r="A2" s="7" t="s">
        <v>2822</v>
      </c>
      <c r="B2" s="108" t="s">
        <v>2823</v>
      </c>
      <c r="C2" s="50" t="s">
        <v>2824</v>
      </c>
    </row>
    <row r="3" spans="1:3" ht="15">
      <c r="A3" s="107" t="s">
        <v>2747</v>
      </c>
      <c r="B3" s="107" t="s">
        <v>2747</v>
      </c>
      <c r="C3" s="31">
        <v>100</v>
      </c>
    </row>
    <row r="4" spans="1:3" ht="15">
      <c r="A4" s="107" t="s">
        <v>2748</v>
      </c>
      <c r="B4" s="107" t="s">
        <v>2748</v>
      </c>
      <c r="C4" s="31">
        <v>88</v>
      </c>
    </row>
    <row r="5" spans="1:3" ht="15">
      <c r="A5" s="107" t="s">
        <v>2749</v>
      </c>
      <c r="B5" s="107" t="s">
        <v>2749</v>
      </c>
      <c r="C5" s="31">
        <v>45</v>
      </c>
    </row>
    <row r="6" spans="1:3" ht="15">
      <c r="A6" s="107" t="s">
        <v>2750</v>
      </c>
      <c r="B6" s="107" t="s">
        <v>2750</v>
      </c>
      <c r="C6" s="31">
        <v>31</v>
      </c>
    </row>
    <row r="7" spans="1:3" ht="15">
      <c r="A7" s="107" t="s">
        <v>2751</v>
      </c>
      <c r="B7" s="107" t="s">
        <v>2751</v>
      </c>
      <c r="C7" s="31">
        <v>32</v>
      </c>
    </row>
    <row r="8" spans="1:3" ht="15">
      <c r="A8" s="107" t="s">
        <v>2752</v>
      </c>
      <c r="B8" s="107" t="s">
        <v>2752</v>
      </c>
      <c r="C8" s="31">
        <v>40</v>
      </c>
    </row>
    <row r="9" spans="1:3" ht="15">
      <c r="A9" s="107" t="s">
        <v>2753</v>
      </c>
      <c r="B9" s="107" t="s">
        <v>2747</v>
      </c>
      <c r="C9" s="31">
        <v>1</v>
      </c>
    </row>
    <row r="10" spans="1:3" ht="15">
      <c r="A10" s="107" t="s">
        <v>2753</v>
      </c>
      <c r="B10" s="107" t="s">
        <v>2753</v>
      </c>
      <c r="C10" s="31">
        <v>25</v>
      </c>
    </row>
    <row r="11" spans="1:3" ht="15">
      <c r="A11" s="107" t="s">
        <v>2754</v>
      </c>
      <c r="B11" s="107" t="s">
        <v>2754</v>
      </c>
      <c r="C11" s="31">
        <v>19</v>
      </c>
    </row>
    <row r="12" spans="1:3" ht="15">
      <c r="A12" s="107" t="s">
        <v>2755</v>
      </c>
      <c r="B12" s="107" t="s">
        <v>2755</v>
      </c>
      <c r="C12" s="31">
        <v>21</v>
      </c>
    </row>
    <row r="13" spans="1:3" ht="15">
      <c r="A13" s="107" t="s">
        <v>2756</v>
      </c>
      <c r="B13" s="107" t="s">
        <v>2756</v>
      </c>
      <c r="C13" s="31">
        <v>21</v>
      </c>
    </row>
    <row r="14" spans="1:3" ht="15">
      <c r="A14" s="107" t="s">
        <v>2757</v>
      </c>
      <c r="B14" s="107" t="s">
        <v>2757</v>
      </c>
      <c r="C14" s="31">
        <v>17</v>
      </c>
    </row>
    <row r="15" spans="1:3" ht="15">
      <c r="A15" s="107" t="s">
        <v>2758</v>
      </c>
      <c r="B15" s="107" t="s">
        <v>2758</v>
      </c>
      <c r="C15" s="31">
        <v>13</v>
      </c>
    </row>
    <row r="16" spans="1:3" ht="15">
      <c r="A16" s="107" t="s">
        <v>2759</v>
      </c>
      <c r="B16" s="107" t="s">
        <v>2759</v>
      </c>
      <c r="C16" s="31">
        <v>9</v>
      </c>
    </row>
    <row r="17" spans="1:3" ht="15">
      <c r="A17" s="107" t="s">
        <v>2760</v>
      </c>
      <c r="B17" s="107" t="s">
        <v>2760</v>
      </c>
      <c r="C17" s="31">
        <v>8</v>
      </c>
    </row>
    <row r="18" spans="1:3" ht="15">
      <c r="A18" s="107" t="s">
        <v>2761</v>
      </c>
      <c r="B18" s="107" t="s">
        <v>2761</v>
      </c>
      <c r="C18" s="31">
        <v>4</v>
      </c>
    </row>
    <row r="19" spans="1:3" ht="15">
      <c r="A19" s="107" t="s">
        <v>2762</v>
      </c>
      <c r="B19" s="107" t="s">
        <v>2762</v>
      </c>
      <c r="C19" s="31">
        <v>4</v>
      </c>
    </row>
    <row r="20" spans="1:3" ht="15">
      <c r="A20" s="107" t="s">
        <v>2763</v>
      </c>
      <c r="B20" s="107" t="s">
        <v>2763</v>
      </c>
      <c r="C20" s="31">
        <v>6</v>
      </c>
    </row>
    <row r="21" spans="1:3" ht="15">
      <c r="A21" s="107" t="s">
        <v>2764</v>
      </c>
      <c r="B21" s="107" t="s">
        <v>2764</v>
      </c>
      <c r="C21" s="31">
        <v>3</v>
      </c>
    </row>
    <row r="22" spans="1:3" ht="15">
      <c r="A22" s="107" t="s">
        <v>2765</v>
      </c>
      <c r="B22" s="107" t="s">
        <v>2765</v>
      </c>
      <c r="C22" s="31">
        <v>3</v>
      </c>
    </row>
    <row r="23" spans="1:3" ht="15">
      <c r="A23" s="107" t="s">
        <v>2766</v>
      </c>
      <c r="B23" s="107" t="s">
        <v>2766</v>
      </c>
      <c r="C23" s="31">
        <v>5</v>
      </c>
    </row>
    <row r="24" spans="1:3" ht="15">
      <c r="A24" s="107" t="s">
        <v>2767</v>
      </c>
      <c r="B24" s="107" t="s">
        <v>2767</v>
      </c>
      <c r="C24" s="31">
        <v>2</v>
      </c>
    </row>
    <row r="25" spans="1:3" ht="15">
      <c r="A25" s="107" t="s">
        <v>2768</v>
      </c>
      <c r="B25" s="107" t="s">
        <v>2768</v>
      </c>
      <c r="C25" s="31">
        <v>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A48E5-6AE1-4460-BE30-67D0E92BB093}">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2844</v>
      </c>
      <c r="B1" s="7" t="s">
        <v>17</v>
      </c>
    </row>
    <row r="2" spans="1:2" ht="15">
      <c r="A2" s="83" t="s">
        <v>2845</v>
      </c>
      <c r="B2" s="83"/>
    </row>
    <row r="3" spans="1:2" ht="15">
      <c r="A3" s="84" t="s">
        <v>2846</v>
      </c>
      <c r="B3" s="83"/>
    </row>
    <row r="4" spans="1:2" ht="15">
      <c r="A4" s="84" t="s">
        <v>2847</v>
      </c>
      <c r="B4" s="83"/>
    </row>
    <row r="5" spans="1:2" ht="15">
      <c r="A5" s="84" t="s">
        <v>2848</v>
      </c>
      <c r="B5" s="83"/>
    </row>
    <row r="6" spans="1:2" ht="15">
      <c r="A6" s="84" t="s">
        <v>2849</v>
      </c>
      <c r="B6" s="83"/>
    </row>
    <row r="7" spans="1:2" ht="15">
      <c r="A7" s="84" t="s">
        <v>2850</v>
      </c>
      <c r="B7" s="83"/>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54F19-485B-40A1-BEEF-F813DFE3C72F}">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7" t="s">
        <v>2851</v>
      </c>
      <c r="B1" s="7" t="s">
        <v>34</v>
      </c>
    </row>
    <row r="2" spans="1:2" ht="15">
      <c r="A2" s="102" t="s">
        <v>651</v>
      </c>
      <c r="B2" s="83">
        <v>13860</v>
      </c>
    </row>
    <row r="3" spans="1:2" ht="15">
      <c r="A3" s="103" t="s">
        <v>650</v>
      </c>
      <c r="B3" s="83">
        <v>6480</v>
      </c>
    </row>
    <row r="4" spans="1:2" ht="15">
      <c r="A4" s="103" t="s">
        <v>649</v>
      </c>
      <c r="B4" s="83">
        <v>4180</v>
      </c>
    </row>
    <row r="5" spans="1:2" ht="15">
      <c r="A5" s="103" t="s">
        <v>550</v>
      </c>
      <c r="B5" s="83">
        <v>4000</v>
      </c>
    </row>
    <row r="6" spans="1:2" ht="15">
      <c r="A6" s="103" t="s">
        <v>642</v>
      </c>
      <c r="B6" s="83">
        <v>1482</v>
      </c>
    </row>
    <row r="7" spans="1:2" ht="15">
      <c r="A7" s="103" t="s">
        <v>614</v>
      </c>
      <c r="B7" s="83">
        <v>650</v>
      </c>
    </row>
    <row r="8" spans="1:2" ht="15">
      <c r="A8" s="103" t="s">
        <v>630</v>
      </c>
      <c r="B8" s="83">
        <v>600</v>
      </c>
    </row>
    <row r="9" spans="1:2" ht="15">
      <c r="A9" s="103" t="s">
        <v>647</v>
      </c>
      <c r="B9" s="83">
        <v>240</v>
      </c>
    </row>
    <row r="10" spans="1:2" ht="15">
      <c r="A10" s="103" t="s">
        <v>622</v>
      </c>
      <c r="B10" s="83">
        <v>176</v>
      </c>
    </row>
    <row r="11" spans="1:2" ht="15">
      <c r="A11" s="103" t="s">
        <v>638</v>
      </c>
      <c r="B11" s="83">
        <v>156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BD672-1F9F-412F-8272-778DE650F420}">
  <dimension ref="A1:V5"/>
  <sheetViews>
    <sheetView workbookViewId="0" topLeftCell="A1"/>
  </sheetViews>
  <sheetFormatPr defaultColWidth="9.140625" defaultRowHeight="15"/>
  <cols>
    <col min="1" max="1" width="38.7109375" style="0" customWidth="1"/>
    <col min="2" max="2" width="18.7109375" style="0" bestFit="1" customWidth="1"/>
    <col min="3" max="3" width="28.7109375" style="0" customWidth="1"/>
    <col min="4" max="4" width="10.7109375" style="0" bestFit="1" customWidth="1"/>
    <col min="5" max="5" width="28.7109375" style="0" customWidth="1"/>
    <col min="6" max="6" width="10.7109375" style="0" bestFit="1" customWidth="1"/>
    <col min="7" max="7" width="28.7109375" style="0" customWidth="1"/>
    <col min="8" max="8" width="10.7109375" style="0" bestFit="1" customWidth="1"/>
    <col min="9" max="9" width="28.7109375" style="0" customWidth="1"/>
    <col min="10" max="10" width="10.7109375" style="0" bestFit="1" customWidth="1"/>
    <col min="11" max="11" width="28.7109375" style="0" customWidth="1"/>
    <col min="12" max="12" width="10.7109375" style="0" bestFit="1" customWidth="1"/>
    <col min="13" max="13" width="28.7109375" style="0" customWidth="1"/>
    <col min="14" max="14" width="10.7109375" style="0" bestFit="1" customWidth="1"/>
    <col min="15" max="15" width="28.7109375" style="0" customWidth="1"/>
    <col min="16" max="16" width="10.7109375" style="0" bestFit="1" customWidth="1"/>
    <col min="17" max="17" width="28.7109375" style="0" customWidth="1"/>
    <col min="18" max="18" width="10.7109375" style="0" bestFit="1" customWidth="1"/>
    <col min="19" max="19" width="28.7109375" style="0" customWidth="1"/>
    <col min="20" max="20" width="10.7109375" style="0" bestFit="1" customWidth="1"/>
    <col min="21" max="21" width="29.7109375" style="0" customWidth="1"/>
    <col min="22" max="22" width="11.7109375" style="0" bestFit="1" customWidth="1"/>
  </cols>
  <sheetData>
    <row r="1" spans="1:22" ht="14.4" customHeight="1">
      <c r="A1" s="83" t="s">
        <v>2852</v>
      </c>
      <c r="B1" s="83" t="s">
        <v>2853</v>
      </c>
      <c r="C1" s="83" t="s">
        <v>2854</v>
      </c>
      <c r="D1" s="83" t="s">
        <v>2856</v>
      </c>
      <c r="E1" s="83" t="s">
        <v>2855</v>
      </c>
      <c r="F1" s="83" t="s">
        <v>2858</v>
      </c>
      <c r="G1" s="83" t="s">
        <v>2857</v>
      </c>
      <c r="H1" s="83" t="s">
        <v>2860</v>
      </c>
      <c r="I1" s="83" t="s">
        <v>2859</v>
      </c>
      <c r="J1" s="83" t="s">
        <v>2862</v>
      </c>
      <c r="K1" s="83" t="s">
        <v>2861</v>
      </c>
      <c r="L1" s="83" t="s">
        <v>2864</v>
      </c>
      <c r="M1" s="83" t="s">
        <v>2863</v>
      </c>
      <c r="N1" s="83" t="s">
        <v>2866</v>
      </c>
      <c r="O1" s="83" t="s">
        <v>2865</v>
      </c>
      <c r="P1" s="83" t="s">
        <v>2868</v>
      </c>
      <c r="Q1" s="83" t="s">
        <v>2867</v>
      </c>
      <c r="R1" s="83" t="s">
        <v>2870</v>
      </c>
      <c r="S1" s="83" t="s">
        <v>2869</v>
      </c>
      <c r="T1" s="83" t="s">
        <v>2872</v>
      </c>
      <c r="U1" s="83" t="s">
        <v>2871</v>
      </c>
      <c r="V1" s="83" t="s">
        <v>2873</v>
      </c>
    </row>
    <row r="2" spans="1:22" ht="15">
      <c r="A2" s="83"/>
      <c r="B2" s="83"/>
      <c r="C2" s="83"/>
      <c r="D2" s="83"/>
      <c r="E2" s="83"/>
      <c r="F2" s="83"/>
      <c r="G2" s="83"/>
      <c r="H2" s="83"/>
      <c r="I2" s="83"/>
      <c r="J2" s="83"/>
      <c r="K2" s="83"/>
      <c r="L2" s="83"/>
      <c r="M2" s="83"/>
      <c r="N2" s="83"/>
      <c r="O2" s="83"/>
      <c r="P2" s="83"/>
      <c r="Q2" s="83"/>
      <c r="R2" s="83"/>
      <c r="S2" s="83"/>
      <c r="T2" s="83"/>
      <c r="U2" s="83"/>
      <c r="V2" s="83"/>
    </row>
    <row r="4" spans="1:22" ht="14.4" customHeight="1">
      <c r="A4" s="83" t="s">
        <v>2875</v>
      </c>
      <c r="B4" s="83" t="s">
        <v>2853</v>
      </c>
      <c r="C4" s="83" t="s">
        <v>2876</v>
      </c>
      <c r="D4" s="83" t="s">
        <v>2856</v>
      </c>
      <c r="E4" s="83" t="s">
        <v>2877</v>
      </c>
      <c r="F4" s="83" t="s">
        <v>2858</v>
      </c>
      <c r="G4" s="83" t="s">
        <v>2878</v>
      </c>
      <c r="H4" s="83" t="s">
        <v>2860</v>
      </c>
      <c r="I4" s="83" t="s">
        <v>2879</v>
      </c>
      <c r="J4" s="83" t="s">
        <v>2862</v>
      </c>
      <c r="K4" s="83" t="s">
        <v>2880</v>
      </c>
      <c r="L4" s="83" t="s">
        <v>2864</v>
      </c>
      <c r="M4" s="83" t="s">
        <v>2881</v>
      </c>
      <c r="N4" s="83" t="s">
        <v>2866</v>
      </c>
      <c r="O4" s="83" t="s">
        <v>2882</v>
      </c>
      <c r="P4" s="83" t="s">
        <v>2868</v>
      </c>
      <c r="Q4" s="83" t="s">
        <v>2883</v>
      </c>
      <c r="R4" s="83" t="s">
        <v>2870</v>
      </c>
      <c r="S4" s="83" t="s">
        <v>2884</v>
      </c>
      <c r="T4" s="83" t="s">
        <v>2872</v>
      </c>
      <c r="U4" s="83" t="s">
        <v>2885</v>
      </c>
      <c r="V4" s="83" t="s">
        <v>2873</v>
      </c>
    </row>
    <row r="5" spans="1:22" ht="15">
      <c r="A5" s="83"/>
      <c r="B5" s="83"/>
      <c r="C5" s="83"/>
      <c r="D5" s="83"/>
      <c r="E5" s="83"/>
      <c r="F5" s="83"/>
      <c r="G5" s="83"/>
      <c r="H5" s="83"/>
      <c r="I5" s="83"/>
      <c r="J5" s="83"/>
      <c r="K5" s="83"/>
      <c r="L5" s="83"/>
      <c r="M5" s="83"/>
      <c r="N5" s="83"/>
      <c r="O5" s="83"/>
      <c r="P5" s="83"/>
      <c r="Q5" s="83"/>
      <c r="R5" s="83"/>
      <c r="S5" s="83"/>
      <c r="T5" s="83"/>
      <c r="U5" s="83"/>
      <c r="V5" s="83"/>
    </row>
  </sheetData>
  <printOptions/>
  <pageMargins left="0.7" right="0.7" top="0.75" bottom="0.75" header="0.3" footer="0.3"/>
  <pageSetup orientation="portrait" paperSize="9"/>
  <tableParts>
    <tablePart r:id="rId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I426"/>
  <sheetViews>
    <sheetView tabSelected="1"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6.7109375" style="2" bestFit="1" customWidth="1"/>
    <col min="31" max="31" width="12.421875" style="0" bestFit="1" customWidth="1"/>
    <col min="32" max="32" width="18.140625" style="0" bestFit="1" customWidth="1"/>
    <col min="33" max="33" width="15.00390625" style="0" bestFit="1" customWidth="1"/>
    <col min="34" max="34" width="15.8515625" style="0" bestFit="1" customWidth="1"/>
    <col min="35" max="35" width="9.421875" style="0" bestFit="1" customWidth="1"/>
    <col min="36" max="36" width="13.140625" style="0" bestFit="1" customWidth="1"/>
    <col min="37" max="37" width="11.7109375" style="0" bestFit="1" customWidth="1"/>
    <col min="38" max="38" width="8.140625" style="0" bestFit="1" customWidth="1"/>
    <col min="39" max="39" width="11.28125" style="0" bestFit="1" customWidth="1"/>
    <col min="40" max="40" width="11.57421875" style="0" bestFit="1" customWidth="1"/>
    <col min="41" max="41" width="17.7109375" style="0" bestFit="1" customWidth="1"/>
    <col min="42" max="42" width="8.140625" style="0" bestFit="1" customWidth="1"/>
    <col min="43" max="43" width="9.7109375" style="0" bestFit="1" customWidth="1"/>
    <col min="44" max="44" width="8.421875" style="0" bestFit="1" customWidth="1"/>
    <col min="45" max="46" width="14.57421875" style="0" bestFit="1" customWidth="1"/>
    <col min="47" max="47" width="9.00390625" style="0" bestFit="1" customWidth="1"/>
    <col min="48" max="48" width="18.28125" style="0" bestFit="1" customWidth="1"/>
    <col min="49" max="49" width="22.57421875" style="0" bestFit="1" customWidth="1"/>
    <col min="50" max="50" width="18.28125" style="0" bestFit="1" customWidth="1"/>
    <col min="51" max="51" width="22.57421875" style="0" bestFit="1" customWidth="1"/>
    <col min="52" max="52" width="18.28125" style="0" bestFit="1" customWidth="1"/>
    <col min="53" max="53" width="22.57421875" style="0" bestFit="1" customWidth="1"/>
    <col min="54" max="54" width="17.28125" style="0" bestFit="1" customWidth="1"/>
    <col min="55" max="55" width="20.57421875" style="0" bestFit="1" customWidth="1"/>
    <col min="56" max="56" width="16.140625" style="0" bestFit="1" customWidth="1"/>
    <col min="57" max="57" width="14.57421875" style="0" bestFit="1" customWidth="1"/>
    <col min="58" max="58" width="16.421875" style="0" bestFit="1" customWidth="1"/>
    <col min="59" max="59" width="16.57421875" style="0" bestFit="1" customWidth="1"/>
    <col min="60" max="60" width="18.1406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60"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1875</v>
      </c>
      <c r="AE2" s="7" t="s">
        <v>1876</v>
      </c>
      <c r="AF2" s="7" t="s">
        <v>216</v>
      </c>
      <c r="AG2" s="7" t="s">
        <v>217</v>
      </c>
      <c r="AH2" s="7" t="s">
        <v>218</v>
      </c>
      <c r="AI2" s="7" t="s">
        <v>1877</v>
      </c>
      <c r="AJ2" s="7" t="s">
        <v>224</v>
      </c>
      <c r="AK2" s="7" t="s">
        <v>1878</v>
      </c>
      <c r="AL2" s="7" t="s">
        <v>1879</v>
      </c>
      <c r="AM2" s="7" t="s">
        <v>1880</v>
      </c>
      <c r="AN2" s="7" t="s">
        <v>1881</v>
      </c>
      <c r="AO2" s="7" t="s">
        <v>1882</v>
      </c>
      <c r="AP2" s="7" t="s">
        <v>1883</v>
      </c>
      <c r="AQ2" s="7" t="s">
        <v>1884</v>
      </c>
      <c r="AR2" s="7" t="s">
        <v>1885</v>
      </c>
      <c r="AS2" s="7" t="s">
        <v>1886</v>
      </c>
      <c r="AT2" s="7" t="s">
        <v>1887</v>
      </c>
      <c r="AU2" s="7" t="s">
        <v>2781</v>
      </c>
      <c r="AV2" s="106" t="s">
        <v>2811</v>
      </c>
      <c r="AW2" s="106" t="s">
        <v>2812</v>
      </c>
      <c r="AX2" s="106" t="s">
        <v>2813</v>
      </c>
      <c r="AY2" s="106" t="s">
        <v>2814</v>
      </c>
      <c r="AZ2" s="106" t="s">
        <v>2815</v>
      </c>
      <c r="BA2" s="106" t="s">
        <v>2816</v>
      </c>
      <c r="BB2" s="106" t="s">
        <v>2817</v>
      </c>
      <c r="BC2" s="106" t="s">
        <v>2818</v>
      </c>
      <c r="BD2" s="106" t="s">
        <v>2820</v>
      </c>
      <c r="BE2" s="106" t="s">
        <v>2887</v>
      </c>
      <c r="BF2" s="106" t="s">
        <v>2888</v>
      </c>
      <c r="BG2" s="106" t="s">
        <v>2889</v>
      </c>
      <c r="BH2" s="106" t="s">
        <v>2890</v>
      </c>
    </row>
    <row r="3" spans="1:60" ht="15" customHeight="1">
      <c r="A3" s="61" t="s">
        <v>652</v>
      </c>
      <c r="B3" s="62" t="s">
        <v>2893</v>
      </c>
      <c r="C3" s="62"/>
      <c r="D3" s="63">
        <v>100</v>
      </c>
      <c r="E3" s="65">
        <v>50</v>
      </c>
      <c r="F3" s="100" t="str">
        <f>HYPERLINK("https://yt3.ggpht.com/ytc/AGIKgqMkkMYAG6LY_i6BAc8raWoYfUbQi61T2UuzcWf8RQ=s88-c-k-c0x00ffffff-no-rj")</f>
        <v>https://yt3.ggpht.com/ytc/AGIKgqMkkMYAG6LY_i6BAc8raWoYfUbQi61T2UuzcWf8RQ=s88-c-k-c0x00ffffff-no-rj</v>
      </c>
      <c r="G3" s="62"/>
      <c r="H3" s="66" t="s">
        <v>1451</v>
      </c>
      <c r="I3" s="67"/>
      <c r="J3" s="67" t="s">
        <v>159</v>
      </c>
      <c r="K3" s="66" t="s">
        <v>1451</v>
      </c>
      <c r="L3" s="70"/>
      <c r="M3" s="71">
        <v>5707.541015625</v>
      </c>
      <c r="N3" s="71">
        <v>3426.62353515625</v>
      </c>
      <c r="O3" s="72"/>
      <c r="P3" s="73"/>
      <c r="Q3" s="73"/>
      <c r="R3" s="45"/>
      <c r="S3" s="45">
        <v>0</v>
      </c>
      <c r="T3" s="45">
        <v>1</v>
      </c>
      <c r="U3" s="46">
        <v>0</v>
      </c>
      <c r="V3" s="46">
        <v>0.030154</v>
      </c>
      <c r="W3" s="46">
        <v>0</v>
      </c>
      <c r="X3" s="46">
        <v>0.002061</v>
      </c>
      <c r="Y3" s="46">
        <v>0</v>
      </c>
      <c r="Z3" s="46">
        <v>0</v>
      </c>
      <c r="AA3" s="68">
        <v>3</v>
      </c>
      <c r="AB3" s="68"/>
      <c r="AC3" s="69"/>
      <c r="AD3" s="83" t="s">
        <v>1451</v>
      </c>
      <c r="AE3" s="83"/>
      <c r="AF3" s="83"/>
      <c r="AG3" s="83"/>
      <c r="AH3" s="83"/>
      <c r="AI3" s="83" t="s">
        <v>2505</v>
      </c>
      <c r="AJ3" s="83" t="s">
        <v>2743</v>
      </c>
      <c r="AK3" s="89" t="str">
        <f>HYPERLINK("https://yt3.ggpht.com/ytc/AGIKgqMkkMYAG6LY_i6BAc8raWoYfUbQi61T2UuzcWf8RQ=s88-c-k-c0x00ffffff-no-rj")</f>
        <v>https://yt3.ggpht.com/ytc/AGIKgqMkkMYAG6LY_i6BAc8raWoYfUbQi61T2UuzcWf8RQ=s88-c-k-c0x00ffffff-no-rj</v>
      </c>
      <c r="AL3" s="83">
        <v>839</v>
      </c>
      <c r="AM3" s="83">
        <v>0</v>
      </c>
      <c r="AN3" s="83">
        <v>15</v>
      </c>
      <c r="AO3" s="83" t="b">
        <v>0</v>
      </c>
      <c r="AP3" s="83">
        <v>2</v>
      </c>
      <c r="AQ3" s="83"/>
      <c r="AR3" s="83"/>
      <c r="AS3" s="83" t="s">
        <v>2744</v>
      </c>
      <c r="AT3" s="89" t="str">
        <f>HYPERLINK("https://www.youtube.com/channel/UCdchqwUBbQg9CgDjf5wWuOg")</f>
        <v>https://www.youtube.com/channel/UCdchqwUBbQg9CgDjf5wWuOg</v>
      </c>
      <c r="AU3" s="83" t="str">
        <f>REPLACE(INDEX(GroupVertices[Group],MATCH(Vertices[[#This Row],[Vertex]],GroupVertices[Vertex],0)),1,1,"")</f>
        <v>5</v>
      </c>
      <c r="AV3" s="45"/>
      <c r="AW3" s="46"/>
      <c r="AX3" s="45"/>
      <c r="AY3" s="46"/>
      <c r="AZ3" s="45"/>
      <c r="BA3" s="46"/>
      <c r="BB3" s="45"/>
      <c r="BC3" s="46"/>
      <c r="BD3" s="45"/>
      <c r="BE3" s="110" t="s">
        <v>1874</v>
      </c>
      <c r="BF3" s="110" t="s">
        <v>1874</v>
      </c>
      <c r="BG3" s="110" t="s">
        <v>1874</v>
      </c>
      <c r="BH3" s="110" t="s">
        <v>1874</v>
      </c>
    </row>
    <row r="4" spans="1:61" ht="15">
      <c r="A4" s="61" t="s">
        <v>630</v>
      </c>
      <c r="B4" s="62" t="s">
        <v>2893</v>
      </c>
      <c r="C4" s="62"/>
      <c r="D4" s="63">
        <v>331.6831683168317</v>
      </c>
      <c r="E4" s="65">
        <v>100</v>
      </c>
      <c r="F4" s="100" t="str">
        <f>HYPERLINK("https://yt3.ggpht.com/ytc/AGIKgqMVKcrEv-SA2NQJ28TRfpIcxImc7baeOrDwoAnK=s88-c-k-c0x00ffffff-no-rj")</f>
        <v>https://yt3.ggpht.com/ytc/AGIKgqMVKcrEv-SA2NQJ28TRfpIcxImc7baeOrDwoAnK=s88-c-k-c0x00ffffff-no-rj</v>
      </c>
      <c r="G4" s="62"/>
      <c r="H4" s="66" t="s">
        <v>1888</v>
      </c>
      <c r="I4" s="67"/>
      <c r="J4" s="67" t="s">
        <v>75</v>
      </c>
      <c r="K4" s="66" t="s">
        <v>1888</v>
      </c>
      <c r="L4" s="70"/>
      <c r="M4" s="71">
        <v>5707.541015625</v>
      </c>
      <c r="N4" s="71">
        <v>5898.28662109375</v>
      </c>
      <c r="O4" s="72"/>
      <c r="P4" s="73"/>
      <c r="Q4" s="73"/>
      <c r="R4" s="94"/>
      <c r="S4" s="45">
        <v>26</v>
      </c>
      <c r="T4" s="45">
        <v>1</v>
      </c>
      <c r="U4" s="46">
        <v>600</v>
      </c>
      <c r="V4" s="46">
        <v>0.059102</v>
      </c>
      <c r="W4" s="46">
        <v>0</v>
      </c>
      <c r="X4" s="46">
        <v>0.009791</v>
      </c>
      <c r="Y4" s="46">
        <v>0</v>
      </c>
      <c r="Z4" s="46">
        <v>0</v>
      </c>
      <c r="AA4" s="68">
        <v>4</v>
      </c>
      <c r="AB4" s="68"/>
      <c r="AC4" s="69"/>
      <c r="AD4" s="83" t="s">
        <v>1888</v>
      </c>
      <c r="AE4" s="83" t="s">
        <v>1927</v>
      </c>
      <c r="AF4" s="83"/>
      <c r="AG4" s="83"/>
      <c r="AH4" s="83"/>
      <c r="AI4" s="83" t="s">
        <v>2082</v>
      </c>
      <c r="AJ4" s="92">
        <v>41701.76931712963</v>
      </c>
      <c r="AK4" s="89" t="str">
        <f>HYPERLINK("https://yt3.ggpht.com/ytc/AGIKgqMVKcrEv-SA2NQJ28TRfpIcxImc7baeOrDwoAnK=s88-c-k-c0x00ffffff-no-rj")</f>
        <v>https://yt3.ggpht.com/ytc/AGIKgqMVKcrEv-SA2NQJ28TRfpIcxImc7baeOrDwoAnK=s88-c-k-c0x00ffffff-no-rj</v>
      </c>
      <c r="AL4" s="83">
        <v>241668</v>
      </c>
      <c r="AM4" s="83">
        <v>0</v>
      </c>
      <c r="AN4" s="83">
        <v>2110</v>
      </c>
      <c r="AO4" s="83" t="b">
        <v>0</v>
      </c>
      <c r="AP4" s="83">
        <v>126</v>
      </c>
      <c r="AQ4" s="83"/>
      <c r="AR4" s="83"/>
      <c r="AS4" s="83" t="s">
        <v>2744</v>
      </c>
      <c r="AT4" s="89" t="str">
        <f>HYPERLINK("https://www.youtube.com/channel/UCO1duSVVdeG8NY3g6Ldlb8w")</f>
        <v>https://www.youtube.com/channel/UCO1duSVVdeG8NY3g6Ldlb8w</v>
      </c>
      <c r="AU4" s="83" t="str">
        <f>REPLACE(INDEX(GroupVertices[Group],MATCH(Vertices[[#This Row],[Vertex]],GroupVertices[Vertex],0)),1,1,"")</f>
        <v>5</v>
      </c>
      <c r="AV4" s="45"/>
      <c r="AW4" s="46"/>
      <c r="AX4" s="45"/>
      <c r="AY4" s="46"/>
      <c r="AZ4" s="45"/>
      <c r="BA4" s="46"/>
      <c r="BB4" s="45"/>
      <c r="BC4" s="46"/>
      <c r="BD4" s="45"/>
      <c r="BE4" s="110" t="s">
        <v>1874</v>
      </c>
      <c r="BF4" s="110" t="s">
        <v>1874</v>
      </c>
      <c r="BG4" s="110" t="s">
        <v>1874</v>
      </c>
      <c r="BH4" s="110" t="s">
        <v>1874</v>
      </c>
      <c r="BI4" s="2"/>
    </row>
    <row r="5" spans="1:61" ht="15">
      <c r="A5" s="61" t="s">
        <v>229</v>
      </c>
      <c r="B5" s="62" t="s">
        <v>2893</v>
      </c>
      <c r="C5" s="62"/>
      <c r="D5" s="63">
        <v>100</v>
      </c>
      <c r="E5" s="65">
        <v>50</v>
      </c>
      <c r="F5" s="100" t="str">
        <f>HYPERLINK("https://yt3.ggpht.com/ytc/AGIKgqMHIHPEKEA-P4YwHxyeNoRs1Fi7LH9mknkkwQ=s88-c-k-c0x00ffffff-no-rj")</f>
        <v>https://yt3.ggpht.com/ytc/AGIKgqMHIHPEKEA-P4YwHxyeNoRs1Fi7LH9mknkkwQ=s88-c-k-c0x00ffffff-no-rj</v>
      </c>
      <c r="G5" s="62"/>
      <c r="H5" s="66" t="s">
        <v>1067</v>
      </c>
      <c r="I5" s="67"/>
      <c r="J5" s="67" t="s">
        <v>159</v>
      </c>
      <c r="K5" s="66" t="s">
        <v>1067</v>
      </c>
      <c r="L5" s="70"/>
      <c r="M5" s="71">
        <v>5439.39404296875</v>
      </c>
      <c r="N5" s="71">
        <v>3426.62353515625</v>
      </c>
      <c r="O5" s="72"/>
      <c r="P5" s="73"/>
      <c r="Q5" s="73"/>
      <c r="R5" s="94"/>
      <c r="S5" s="45">
        <v>0</v>
      </c>
      <c r="T5" s="45">
        <v>1</v>
      </c>
      <c r="U5" s="46">
        <v>0</v>
      </c>
      <c r="V5" s="46">
        <v>0.030154</v>
      </c>
      <c r="W5" s="46">
        <v>0</v>
      </c>
      <c r="X5" s="46">
        <v>0.002061</v>
      </c>
      <c r="Y5" s="46">
        <v>0</v>
      </c>
      <c r="Z5" s="46">
        <v>0</v>
      </c>
      <c r="AA5" s="68">
        <v>5</v>
      </c>
      <c r="AB5" s="68"/>
      <c r="AC5" s="69"/>
      <c r="AD5" s="83" t="s">
        <v>1067</v>
      </c>
      <c r="AE5" s="83"/>
      <c r="AF5" s="83"/>
      <c r="AG5" s="83"/>
      <c r="AH5" s="83"/>
      <c r="AI5" s="83" t="s">
        <v>2083</v>
      </c>
      <c r="AJ5" s="83" t="s">
        <v>2506</v>
      </c>
      <c r="AK5" s="89" t="str">
        <f>HYPERLINK("https://yt3.ggpht.com/ytc/AGIKgqMHIHPEKEA-P4YwHxyeNoRs1Fi7LH9mknkkwQ=s88-c-k-c0x00ffffff-no-rj")</f>
        <v>https://yt3.ggpht.com/ytc/AGIKgqMHIHPEKEA-P4YwHxyeNoRs1Fi7LH9mknkkwQ=s88-c-k-c0x00ffffff-no-rj</v>
      </c>
      <c r="AL5" s="83">
        <v>0</v>
      </c>
      <c r="AM5" s="83">
        <v>0</v>
      </c>
      <c r="AN5" s="83">
        <v>1</v>
      </c>
      <c r="AO5" s="83" t="b">
        <v>0</v>
      </c>
      <c r="AP5" s="83">
        <v>0</v>
      </c>
      <c r="AQ5" s="83"/>
      <c r="AR5" s="83"/>
      <c r="AS5" s="83" t="s">
        <v>2744</v>
      </c>
      <c r="AT5" s="89" t="str">
        <f>HYPERLINK("https://www.youtube.com/channel/UCMl3afIMrSgo2RkmXlkobrw")</f>
        <v>https://www.youtube.com/channel/UCMl3afIMrSgo2RkmXlkobrw</v>
      </c>
      <c r="AU5" s="83" t="str">
        <f>REPLACE(INDEX(GroupVertices[Group],MATCH(Vertices[[#This Row],[Vertex]],GroupVertices[Vertex],0)),1,1,"")</f>
        <v>5</v>
      </c>
      <c r="AV5" s="45"/>
      <c r="AW5" s="46"/>
      <c r="AX5" s="45"/>
      <c r="AY5" s="46"/>
      <c r="AZ5" s="45"/>
      <c r="BA5" s="46"/>
      <c r="BB5" s="45"/>
      <c r="BC5" s="46"/>
      <c r="BD5" s="45"/>
      <c r="BE5" s="110" t="s">
        <v>1874</v>
      </c>
      <c r="BF5" s="110" t="s">
        <v>1874</v>
      </c>
      <c r="BG5" s="110" t="s">
        <v>1874</v>
      </c>
      <c r="BH5" s="110" t="s">
        <v>1874</v>
      </c>
      <c r="BI5" s="2"/>
    </row>
    <row r="6" spans="1:61" ht="15">
      <c r="A6" s="61" t="s">
        <v>230</v>
      </c>
      <c r="B6" s="62" t="s">
        <v>2893</v>
      </c>
      <c r="C6" s="62"/>
      <c r="D6" s="63">
        <v>100</v>
      </c>
      <c r="E6" s="65">
        <v>50</v>
      </c>
      <c r="F6" s="100" t="str">
        <f>HYPERLINK("https://yt3.ggpht.com/ytc/AGIKgqO5S8JcWQ0Ue49kdpBJomqd8TIgKP2y9q0-nPc2bw=s88-c-k-c0x00ffffff-no-rj")</f>
        <v>https://yt3.ggpht.com/ytc/AGIKgqO5S8JcWQ0Ue49kdpBJomqd8TIgKP2y9q0-nPc2bw=s88-c-k-c0x00ffffff-no-rj</v>
      </c>
      <c r="G6" s="62"/>
      <c r="H6" s="66" t="s">
        <v>1068</v>
      </c>
      <c r="I6" s="67"/>
      <c r="J6" s="67" t="s">
        <v>159</v>
      </c>
      <c r="K6" s="66" t="s">
        <v>1068</v>
      </c>
      <c r="L6" s="70"/>
      <c r="M6" s="71">
        <v>6780.12841796875</v>
      </c>
      <c r="N6" s="71">
        <v>4044.539306640625</v>
      </c>
      <c r="O6" s="72"/>
      <c r="P6" s="73"/>
      <c r="Q6" s="73"/>
      <c r="R6" s="94"/>
      <c r="S6" s="45">
        <v>0</v>
      </c>
      <c r="T6" s="45">
        <v>1</v>
      </c>
      <c r="U6" s="46">
        <v>0</v>
      </c>
      <c r="V6" s="46">
        <v>0.030154</v>
      </c>
      <c r="W6" s="46">
        <v>0</v>
      </c>
      <c r="X6" s="46">
        <v>0.002061</v>
      </c>
      <c r="Y6" s="46">
        <v>0</v>
      </c>
      <c r="Z6" s="46">
        <v>0</v>
      </c>
      <c r="AA6" s="68">
        <v>6</v>
      </c>
      <c r="AB6" s="68"/>
      <c r="AC6" s="69"/>
      <c r="AD6" s="83" t="s">
        <v>1068</v>
      </c>
      <c r="AE6" s="83"/>
      <c r="AF6" s="83"/>
      <c r="AG6" s="83"/>
      <c r="AH6" s="83"/>
      <c r="AI6" s="83" t="s">
        <v>2084</v>
      </c>
      <c r="AJ6" s="83" t="s">
        <v>2507</v>
      </c>
      <c r="AK6" s="89" t="str">
        <f>HYPERLINK("https://yt3.ggpht.com/ytc/AGIKgqO5S8JcWQ0Ue49kdpBJomqd8TIgKP2y9q0-nPc2bw=s88-c-k-c0x00ffffff-no-rj")</f>
        <v>https://yt3.ggpht.com/ytc/AGIKgqO5S8JcWQ0Ue49kdpBJomqd8TIgKP2y9q0-nPc2bw=s88-c-k-c0x00ffffff-no-rj</v>
      </c>
      <c r="AL6" s="83">
        <v>0</v>
      </c>
      <c r="AM6" s="83">
        <v>0</v>
      </c>
      <c r="AN6" s="83">
        <v>36</v>
      </c>
      <c r="AO6" s="83" t="b">
        <v>0</v>
      </c>
      <c r="AP6" s="83">
        <v>0</v>
      </c>
      <c r="AQ6" s="83"/>
      <c r="AR6" s="83"/>
      <c r="AS6" s="83" t="s">
        <v>2744</v>
      </c>
      <c r="AT6" s="89" t="str">
        <f>HYPERLINK("https://www.youtube.com/channel/UCis8FBpAVwUgCs9fHqtnCog")</f>
        <v>https://www.youtube.com/channel/UCis8FBpAVwUgCs9fHqtnCog</v>
      </c>
      <c r="AU6" s="83" t="str">
        <f>REPLACE(INDEX(GroupVertices[Group],MATCH(Vertices[[#This Row],[Vertex]],GroupVertices[Vertex],0)),1,1,"")</f>
        <v>5</v>
      </c>
      <c r="AV6" s="45"/>
      <c r="AW6" s="46"/>
      <c r="AX6" s="45"/>
      <c r="AY6" s="46"/>
      <c r="AZ6" s="45"/>
      <c r="BA6" s="46"/>
      <c r="BB6" s="45"/>
      <c r="BC6" s="46"/>
      <c r="BD6" s="45"/>
      <c r="BE6" s="110" t="s">
        <v>1874</v>
      </c>
      <c r="BF6" s="110" t="s">
        <v>1874</v>
      </c>
      <c r="BG6" s="110" t="s">
        <v>1874</v>
      </c>
      <c r="BH6" s="110" t="s">
        <v>1874</v>
      </c>
      <c r="BI6" s="2"/>
    </row>
    <row r="7" spans="1:61" ht="15">
      <c r="A7" s="61" t="s">
        <v>231</v>
      </c>
      <c r="B7" s="62" t="s">
        <v>2893</v>
      </c>
      <c r="C7" s="62"/>
      <c r="D7" s="63">
        <v>100</v>
      </c>
      <c r="E7" s="65">
        <v>50</v>
      </c>
      <c r="F7" s="100" t="str">
        <f>HYPERLINK("https://yt3.ggpht.com/ue17nA9XUIqWZMfDht3O_gpdWzkefCJX815bPcqkT11ChlGF50GQzT9mw61SshG_fE52Wm7HNT0=s88-c-k-c0x00ffffff-no-rj")</f>
        <v>https://yt3.ggpht.com/ue17nA9XUIqWZMfDht3O_gpdWzkefCJX815bPcqkT11ChlGF50GQzT9mw61SshG_fE52Wm7HNT0=s88-c-k-c0x00ffffff-no-rj</v>
      </c>
      <c r="G7" s="62"/>
      <c r="H7" s="66" t="s">
        <v>1069</v>
      </c>
      <c r="I7" s="67"/>
      <c r="J7" s="67" t="s">
        <v>159</v>
      </c>
      <c r="K7" s="66" t="s">
        <v>1069</v>
      </c>
      <c r="L7" s="70"/>
      <c r="M7" s="71">
        <v>6511.9814453125</v>
      </c>
      <c r="N7" s="71">
        <v>4044.539306640625</v>
      </c>
      <c r="O7" s="72"/>
      <c r="P7" s="73"/>
      <c r="Q7" s="73"/>
      <c r="R7" s="94"/>
      <c r="S7" s="45">
        <v>0</v>
      </c>
      <c r="T7" s="45">
        <v>1</v>
      </c>
      <c r="U7" s="46">
        <v>0</v>
      </c>
      <c r="V7" s="46">
        <v>0.030154</v>
      </c>
      <c r="W7" s="46">
        <v>0</v>
      </c>
      <c r="X7" s="46">
        <v>0.002061</v>
      </c>
      <c r="Y7" s="46">
        <v>0</v>
      </c>
      <c r="Z7" s="46">
        <v>0</v>
      </c>
      <c r="AA7" s="68">
        <v>7</v>
      </c>
      <c r="AB7" s="68"/>
      <c r="AC7" s="69"/>
      <c r="AD7" s="83" t="s">
        <v>1069</v>
      </c>
      <c r="AE7" s="83" t="s">
        <v>1928</v>
      </c>
      <c r="AF7" s="83"/>
      <c r="AG7" s="83"/>
      <c r="AH7" s="83"/>
      <c r="AI7" s="83" t="s">
        <v>2085</v>
      </c>
      <c r="AJ7" s="92">
        <v>42249.49961805555</v>
      </c>
      <c r="AK7" s="89" t="str">
        <f>HYPERLINK("https://yt3.ggpht.com/ue17nA9XUIqWZMfDht3O_gpdWzkefCJX815bPcqkT11ChlGF50GQzT9mw61SshG_fE52Wm7HNT0=s88-c-k-c0x00ffffff-no-rj")</f>
        <v>https://yt3.ggpht.com/ue17nA9XUIqWZMfDht3O_gpdWzkefCJX815bPcqkT11ChlGF50GQzT9mw61SshG_fE52Wm7HNT0=s88-c-k-c0x00ffffff-no-rj</v>
      </c>
      <c r="AL7" s="83">
        <v>6428</v>
      </c>
      <c r="AM7" s="83">
        <v>0</v>
      </c>
      <c r="AN7" s="83">
        <v>818</v>
      </c>
      <c r="AO7" s="83" t="b">
        <v>0</v>
      </c>
      <c r="AP7" s="83">
        <v>54</v>
      </c>
      <c r="AQ7" s="83"/>
      <c r="AR7" s="83"/>
      <c r="AS7" s="83" t="s">
        <v>2744</v>
      </c>
      <c r="AT7" s="89" t="str">
        <f>HYPERLINK("https://www.youtube.com/channel/UCCXfrpKuxWRh75P8FY_nMVA")</f>
        <v>https://www.youtube.com/channel/UCCXfrpKuxWRh75P8FY_nMVA</v>
      </c>
      <c r="AU7" s="83" t="str">
        <f>REPLACE(INDEX(GroupVertices[Group],MATCH(Vertices[[#This Row],[Vertex]],GroupVertices[Vertex],0)),1,1,"")</f>
        <v>5</v>
      </c>
      <c r="AV7" s="45"/>
      <c r="AW7" s="46"/>
      <c r="AX7" s="45"/>
      <c r="AY7" s="46"/>
      <c r="AZ7" s="45"/>
      <c r="BA7" s="46"/>
      <c r="BB7" s="45"/>
      <c r="BC7" s="46"/>
      <c r="BD7" s="45"/>
      <c r="BE7" s="110" t="s">
        <v>1874</v>
      </c>
      <c r="BF7" s="110" t="s">
        <v>1874</v>
      </c>
      <c r="BG7" s="110" t="s">
        <v>1874</v>
      </c>
      <c r="BH7" s="110" t="s">
        <v>1874</v>
      </c>
      <c r="BI7" s="2"/>
    </row>
    <row r="8" spans="1:61" ht="15">
      <c r="A8" s="61" t="s">
        <v>232</v>
      </c>
      <c r="B8" s="62" t="s">
        <v>2893</v>
      </c>
      <c r="C8" s="62"/>
      <c r="D8" s="63">
        <v>100</v>
      </c>
      <c r="E8" s="65">
        <v>50</v>
      </c>
      <c r="F8" s="100" t="str">
        <f>HYPERLINK("https://yt3.ggpht.com/ytc/AGIKgqPzt96OcwfUJ5VLfh5A04dRX3Uag3RrIiDprw=s88-c-k-c0x00ffffff-no-rj")</f>
        <v>https://yt3.ggpht.com/ytc/AGIKgqPzt96OcwfUJ5VLfh5A04dRX3Uag3RrIiDprw=s88-c-k-c0x00ffffff-no-rj</v>
      </c>
      <c r="G8" s="62"/>
      <c r="H8" s="66" t="s">
        <v>1070</v>
      </c>
      <c r="I8" s="67"/>
      <c r="J8" s="67" t="s">
        <v>159</v>
      </c>
      <c r="K8" s="66" t="s">
        <v>1070</v>
      </c>
      <c r="L8" s="70"/>
      <c r="M8" s="71">
        <v>6243.8349609375</v>
      </c>
      <c r="N8" s="71">
        <v>4044.539306640625</v>
      </c>
      <c r="O8" s="72"/>
      <c r="P8" s="73"/>
      <c r="Q8" s="73"/>
      <c r="R8" s="94"/>
      <c r="S8" s="45">
        <v>0</v>
      </c>
      <c r="T8" s="45">
        <v>1</v>
      </c>
      <c r="U8" s="46">
        <v>0</v>
      </c>
      <c r="V8" s="46">
        <v>0.030154</v>
      </c>
      <c r="W8" s="46">
        <v>0</v>
      </c>
      <c r="X8" s="46">
        <v>0.002061</v>
      </c>
      <c r="Y8" s="46">
        <v>0</v>
      </c>
      <c r="Z8" s="46">
        <v>0</v>
      </c>
      <c r="AA8" s="68">
        <v>8</v>
      </c>
      <c r="AB8" s="68"/>
      <c r="AC8" s="69"/>
      <c r="AD8" s="83" t="s">
        <v>1070</v>
      </c>
      <c r="AE8" s="83"/>
      <c r="AF8" s="83"/>
      <c r="AG8" s="83"/>
      <c r="AH8" s="83"/>
      <c r="AI8" s="83" t="s">
        <v>2086</v>
      </c>
      <c r="AJ8" s="92">
        <v>42406.484618055554</v>
      </c>
      <c r="AK8" s="89" t="str">
        <f>HYPERLINK("https://yt3.ggpht.com/ytc/AGIKgqPzt96OcwfUJ5VLfh5A04dRX3Uag3RrIiDprw=s88-c-k-c0x00ffffff-no-rj")</f>
        <v>https://yt3.ggpht.com/ytc/AGIKgqPzt96OcwfUJ5VLfh5A04dRX3Uag3RrIiDprw=s88-c-k-c0x00ffffff-no-rj</v>
      </c>
      <c r="AL8" s="83">
        <v>0</v>
      </c>
      <c r="AM8" s="83">
        <v>0</v>
      </c>
      <c r="AN8" s="83">
        <v>4</v>
      </c>
      <c r="AO8" s="83" t="b">
        <v>0</v>
      </c>
      <c r="AP8" s="83">
        <v>0</v>
      </c>
      <c r="AQ8" s="83"/>
      <c r="AR8" s="83"/>
      <c r="AS8" s="83" t="s">
        <v>2744</v>
      </c>
      <c r="AT8" s="89" t="str">
        <f>HYPERLINK("https://www.youtube.com/channel/UCPNBoPeYNxOkroPwGxLdfmA")</f>
        <v>https://www.youtube.com/channel/UCPNBoPeYNxOkroPwGxLdfmA</v>
      </c>
      <c r="AU8" s="83" t="str">
        <f>REPLACE(INDEX(GroupVertices[Group],MATCH(Vertices[[#This Row],[Vertex]],GroupVertices[Vertex],0)),1,1,"")</f>
        <v>5</v>
      </c>
      <c r="AV8" s="45"/>
      <c r="AW8" s="46"/>
      <c r="AX8" s="45"/>
      <c r="AY8" s="46"/>
      <c r="AZ8" s="45"/>
      <c r="BA8" s="46"/>
      <c r="BB8" s="45"/>
      <c r="BC8" s="46"/>
      <c r="BD8" s="45"/>
      <c r="BE8" s="110" t="s">
        <v>1874</v>
      </c>
      <c r="BF8" s="110" t="s">
        <v>1874</v>
      </c>
      <c r="BG8" s="110" t="s">
        <v>1874</v>
      </c>
      <c r="BH8" s="110" t="s">
        <v>1874</v>
      </c>
      <c r="BI8" s="2"/>
    </row>
    <row r="9" spans="1:61" ht="15">
      <c r="A9" s="61" t="s">
        <v>233</v>
      </c>
      <c r="B9" s="62" t="s">
        <v>2893</v>
      </c>
      <c r="C9" s="62"/>
      <c r="D9" s="63">
        <v>100</v>
      </c>
      <c r="E9" s="65">
        <v>50</v>
      </c>
      <c r="F9" s="100" t="str">
        <f>HYPERLINK("https://yt3.ggpht.com/ytc/AGIKgqMeqNJ1waiG4IMcxKnd3A2j7R0wna_PlrhjIw=s88-c-k-c0x00ffffff-no-rj")</f>
        <v>https://yt3.ggpht.com/ytc/AGIKgqMeqNJ1waiG4IMcxKnd3A2j7R0wna_PlrhjIw=s88-c-k-c0x00ffffff-no-rj</v>
      </c>
      <c r="G9" s="62"/>
      <c r="H9" s="66" t="s">
        <v>1071</v>
      </c>
      <c r="I9" s="67"/>
      <c r="J9" s="67" t="s">
        <v>159</v>
      </c>
      <c r="K9" s="66" t="s">
        <v>1071</v>
      </c>
      <c r="L9" s="70"/>
      <c r="M9" s="71">
        <v>5975.6875</v>
      </c>
      <c r="N9" s="71">
        <v>4044.539306640625</v>
      </c>
      <c r="O9" s="72"/>
      <c r="P9" s="73"/>
      <c r="Q9" s="73"/>
      <c r="R9" s="94"/>
      <c r="S9" s="45">
        <v>0</v>
      </c>
      <c r="T9" s="45">
        <v>1</v>
      </c>
      <c r="U9" s="46">
        <v>0</v>
      </c>
      <c r="V9" s="46">
        <v>0.030154</v>
      </c>
      <c r="W9" s="46">
        <v>0</v>
      </c>
      <c r="X9" s="46">
        <v>0.002061</v>
      </c>
      <c r="Y9" s="46">
        <v>0</v>
      </c>
      <c r="Z9" s="46">
        <v>0</v>
      </c>
      <c r="AA9" s="68">
        <v>9</v>
      </c>
      <c r="AB9" s="68"/>
      <c r="AC9" s="69"/>
      <c r="AD9" s="83" t="s">
        <v>1071</v>
      </c>
      <c r="AE9" s="83"/>
      <c r="AF9" s="83"/>
      <c r="AG9" s="83"/>
      <c r="AH9" s="83"/>
      <c r="AI9" s="83" t="s">
        <v>2087</v>
      </c>
      <c r="AJ9" s="92">
        <v>39180.89472222222</v>
      </c>
      <c r="AK9" s="89" t="str">
        <f>HYPERLINK("https://yt3.ggpht.com/ytc/AGIKgqMeqNJ1waiG4IMcxKnd3A2j7R0wna_PlrhjIw=s88-c-k-c0x00ffffff-no-rj")</f>
        <v>https://yt3.ggpht.com/ytc/AGIKgqMeqNJ1waiG4IMcxKnd3A2j7R0wna_PlrhjIw=s88-c-k-c0x00ffffff-no-rj</v>
      </c>
      <c r="AL9" s="83">
        <v>0</v>
      </c>
      <c r="AM9" s="83">
        <v>0</v>
      </c>
      <c r="AN9" s="83">
        <v>5</v>
      </c>
      <c r="AO9" s="83" t="b">
        <v>0</v>
      </c>
      <c r="AP9" s="83">
        <v>0</v>
      </c>
      <c r="AQ9" s="83"/>
      <c r="AR9" s="83"/>
      <c r="AS9" s="83" t="s">
        <v>2744</v>
      </c>
      <c r="AT9" s="89" t="str">
        <f>HYPERLINK("https://www.youtube.com/channel/UCTJ2WEBVYogtzAOA65YMQyw")</f>
        <v>https://www.youtube.com/channel/UCTJ2WEBVYogtzAOA65YMQyw</v>
      </c>
      <c r="AU9" s="83" t="str">
        <f>REPLACE(INDEX(GroupVertices[Group],MATCH(Vertices[[#This Row],[Vertex]],GroupVertices[Vertex],0)),1,1,"")</f>
        <v>5</v>
      </c>
      <c r="AV9" s="45"/>
      <c r="AW9" s="46"/>
      <c r="AX9" s="45"/>
      <c r="AY9" s="46"/>
      <c r="AZ9" s="45"/>
      <c r="BA9" s="46"/>
      <c r="BB9" s="45"/>
      <c r="BC9" s="46"/>
      <c r="BD9" s="45"/>
      <c r="BE9" s="110" t="s">
        <v>1874</v>
      </c>
      <c r="BF9" s="110" t="s">
        <v>1874</v>
      </c>
      <c r="BG9" s="110" t="s">
        <v>1874</v>
      </c>
      <c r="BH9" s="110" t="s">
        <v>1874</v>
      </c>
      <c r="BI9" s="2"/>
    </row>
    <row r="10" spans="1:61" ht="15">
      <c r="A10" s="61" t="s">
        <v>234</v>
      </c>
      <c r="B10" s="62" t="s">
        <v>2893</v>
      </c>
      <c r="C10" s="62"/>
      <c r="D10" s="63">
        <v>100</v>
      </c>
      <c r="E10" s="65">
        <v>50</v>
      </c>
      <c r="F10" s="100" t="str">
        <f>HYPERLINK("https://yt3.ggpht.com/ytc/AGIKgqP5880Jas9EiSFmoX_Cmt7P5QKYNIgHzFUKWvJd=s88-c-k-c0x00ffffff-no-rj")</f>
        <v>https://yt3.ggpht.com/ytc/AGIKgqP5880Jas9EiSFmoX_Cmt7P5QKYNIgHzFUKWvJd=s88-c-k-c0x00ffffff-no-rj</v>
      </c>
      <c r="G10" s="62"/>
      <c r="H10" s="66" t="s">
        <v>1072</v>
      </c>
      <c r="I10" s="67"/>
      <c r="J10" s="67" t="s">
        <v>159</v>
      </c>
      <c r="K10" s="66" t="s">
        <v>1072</v>
      </c>
      <c r="L10" s="70"/>
      <c r="M10" s="71">
        <v>5707.541015625</v>
      </c>
      <c r="N10" s="71">
        <v>4044.539306640625</v>
      </c>
      <c r="O10" s="72"/>
      <c r="P10" s="73"/>
      <c r="Q10" s="73"/>
      <c r="R10" s="94"/>
      <c r="S10" s="45">
        <v>0</v>
      </c>
      <c r="T10" s="45">
        <v>1</v>
      </c>
      <c r="U10" s="46">
        <v>0</v>
      </c>
      <c r="V10" s="46">
        <v>0.030154</v>
      </c>
      <c r="W10" s="46">
        <v>0</v>
      </c>
      <c r="X10" s="46">
        <v>0.002061</v>
      </c>
      <c r="Y10" s="46">
        <v>0</v>
      </c>
      <c r="Z10" s="46">
        <v>0</v>
      </c>
      <c r="AA10" s="68">
        <v>10</v>
      </c>
      <c r="AB10" s="68"/>
      <c r="AC10" s="69"/>
      <c r="AD10" s="83" t="s">
        <v>1072</v>
      </c>
      <c r="AE10" s="83"/>
      <c r="AF10" s="83"/>
      <c r="AG10" s="83"/>
      <c r="AH10" s="83"/>
      <c r="AI10" s="83" t="s">
        <v>2088</v>
      </c>
      <c r="AJ10" s="83" t="s">
        <v>2508</v>
      </c>
      <c r="AK10" s="89" t="str">
        <f>HYPERLINK("https://yt3.ggpht.com/ytc/AGIKgqP5880Jas9EiSFmoX_Cmt7P5QKYNIgHzFUKWvJd=s88-c-k-c0x00ffffff-no-rj")</f>
        <v>https://yt3.ggpht.com/ytc/AGIKgqP5880Jas9EiSFmoX_Cmt7P5QKYNIgHzFUKWvJd=s88-c-k-c0x00ffffff-no-rj</v>
      </c>
      <c r="AL10" s="83">
        <v>0</v>
      </c>
      <c r="AM10" s="83">
        <v>0</v>
      </c>
      <c r="AN10" s="83">
        <v>7</v>
      </c>
      <c r="AO10" s="83" t="b">
        <v>0</v>
      </c>
      <c r="AP10" s="83">
        <v>0</v>
      </c>
      <c r="AQ10" s="83"/>
      <c r="AR10" s="83"/>
      <c r="AS10" s="83" t="s">
        <v>2744</v>
      </c>
      <c r="AT10" s="89" t="str">
        <f>HYPERLINK("https://www.youtube.com/channel/UCcEsH39QPcJXhnGD2sdbnLA")</f>
        <v>https://www.youtube.com/channel/UCcEsH39QPcJXhnGD2sdbnLA</v>
      </c>
      <c r="AU10" s="83" t="str">
        <f>REPLACE(INDEX(GroupVertices[Group],MATCH(Vertices[[#This Row],[Vertex]],GroupVertices[Vertex],0)),1,1,"")</f>
        <v>5</v>
      </c>
      <c r="AV10" s="45"/>
      <c r="AW10" s="46"/>
      <c r="AX10" s="45"/>
      <c r="AY10" s="46"/>
      <c r="AZ10" s="45"/>
      <c r="BA10" s="46"/>
      <c r="BB10" s="45"/>
      <c r="BC10" s="46"/>
      <c r="BD10" s="45"/>
      <c r="BE10" s="110" t="s">
        <v>1874</v>
      </c>
      <c r="BF10" s="110" t="s">
        <v>1874</v>
      </c>
      <c r="BG10" s="110" t="s">
        <v>1874</v>
      </c>
      <c r="BH10" s="110" t="s">
        <v>1874</v>
      </c>
      <c r="BI10" s="2"/>
    </row>
    <row r="11" spans="1:61" ht="15">
      <c r="A11" s="61" t="s">
        <v>235</v>
      </c>
      <c r="B11" s="62" t="s">
        <v>2893</v>
      </c>
      <c r="C11" s="62"/>
      <c r="D11" s="63">
        <v>100</v>
      </c>
      <c r="E11" s="65">
        <v>50</v>
      </c>
      <c r="F11" s="100" t="str">
        <f>HYPERLINK("https://yt3.ggpht.com/ytc/AGIKgqO3CkzKVqV8ZABYL00RHJW6I8H1ocOrWFqIgk4phg=s88-c-k-c0x00ffffff-no-rj")</f>
        <v>https://yt3.ggpht.com/ytc/AGIKgqO3CkzKVqV8ZABYL00RHJW6I8H1ocOrWFqIgk4phg=s88-c-k-c0x00ffffff-no-rj</v>
      </c>
      <c r="G11" s="62"/>
      <c r="H11" s="66" t="s">
        <v>1073</v>
      </c>
      <c r="I11" s="67"/>
      <c r="J11" s="67" t="s">
        <v>159</v>
      </c>
      <c r="K11" s="66" t="s">
        <v>1073</v>
      </c>
      <c r="L11" s="70"/>
      <c r="M11" s="71">
        <v>5439.39404296875</v>
      </c>
      <c r="N11" s="71">
        <v>4044.539306640625</v>
      </c>
      <c r="O11" s="72"/>
      <c r="P11" s="73"/>
      <c r="Q11" s="73"/>
      <c r="R11" s="94"/>
      <c r="S11" s="45">
        <v>0</v>
      </c>
      <c r="T11" s="45">
        <v>1</v>
      </c>
      <c r="U11" s="46">
        <v>0</v>
      </c>
      <c r="V11" s="46">
        <v>0.030154</v>
      </c>
      <c r="W11" s="46">
        <v>0</v>
      </c>
      <c r="X11" s="46">
        <v>0.002061</v>
      </c>
      <c r="Y11" s="46">
        <v>0</v>
      </c>
      <c r="Z11" s="46">
        <v>0</v>
      </c>
      <c r="AA11" s="68">
        <v>11</v>
      </c>
      <c r="AB11" s="68"/>
      <c r="AC11" s="69"/>
      <c r="AD11" s="83" t="s">
        <v>1073</v>
      </c>
      <c r="AE11" s="83" t="s">
        <v>1929</v>
      </c>
      <c r="AF11" s="83"/>
      <c r="AG11" s="83"/>
      <c r="AH11" s="83"/>
      <c r="AI11" s="83" t="s">
        <v>2089</v>
      </c>
      <c r="AJ11" s="83" t="s">
        <v>2509</v>
      </c>
      <c r="AK11" s="89" t="str">
        <f>HYPERLINK("https://yt3.ggpht.com/ytc/AGIKgqO3CkzKVqV8ZABYL00RHJW6I8H1ocOrWFqIgk4phg=s88-c-k-c0x00ffffff-no-rj")</f>
        <v>https://yt3.ggpht.com/ytc/AGIKgqO3CkzKVqV8ZABYL00RHJW6I8H1ocOrWFqIgk4phg=s88-c-k-c0x00ffffff-no-rj</v>
      </c>
      <c r="AL11" s="83">
        <v>888</v>
      </c>
      <c r="AM11" s="83">
        <v>0</v>
      </c>
      <c r="AN11" s="83">
        <v>29</v>
      </c>
      <c r="AO11" s="83" t="b">
        <v>0</v>
      </c>
      <c r="AP11" s="83">
        <v>27</v>
      </c>
      <c r="AQ11" s="83"/>
      <c r="AR11" s="83"/>
      <c r="AS11" s="83" t="s">
        <v>2744</v>
      </c>
      <c r="AT11" s="89" t="str">
        <f>HYPERLINK("https://www.youtube.com/channel/UCldD7bTY9nesJhKHYTHJxpQ")</f>
        <v>https://www.youtube.com/channel/UCldD7bTY9nesJhKHYTHJxpQ</v>
      </c>
      <c r="AU11" s="83" t="str">
        <f>REPLACE(INDEX(GroupVertices[Group],MATCH(Vertices[[#This Row],[Vertex]],GroupVertices[Vertex],0)),1,1,"")</f>
        <v>5</v>
      </c>
      <c r="AV11" s="45"/>
      <c r="AW11" s="46"/>
      <c r="AX11" s="45"/>
      <c r="AY11" s="46"/>
      <c r="AZ11" s="45"/>
      <c r="BA11" s="46"/>
      <c r="BB11" s="45"/>
      <c r="BC11" s="46"/>
      <c r="BD11" s="45"/>
      <c r="BE11" s="110" t="s">
        <v>1874</v>
      </c>
      <c r="BF11" s="110" t="s">
        <v>1874</v>
      </c>
      <c r="BG11" s="110" t="s">
        <v>1874</v>
      </c>
      <c r="BH11" s="110" t="s">
        <v>1874</v>
      </c>
      <c r="BI11" s="2"/>
    </row>
    <row r="12" spans="1:61" ht="15">
      <c r="A12" s="61" t="s">
        <v>236</v>
      </c>
      <c r="B12" s="62" t="s">
        <v>2893</v>
      </c>
      <c r="C12" s="62"/>
      <c r="D12" s="63">
        <v>100</v>
      </c>
      <c r="E12" s="65">
        <v>50</v>
      </c>
      <c r="F12" s="100" t="str">
        <f>HYPERLINK("https://yt3.ggpht.com/ytc/AGIKgqNpVi0QXmrGFxK0GX3fARo3SqGuLpTMbjyEpr3O=s88-c-k-c0x00ffffff-no-rj")</f>
        <v>https://yt3.ggpht.com/ytc/AGIKgqNpVi0QXmrGFxK0GX3fARo3SqGuLpTMbjyEpr3O=s88-c-k-c0x00ffffff-no-rj</v>
      </c>
      <c r="G12" s="62"/>
      <c r="H12" s="66" t="s">
        <v>1074</v>
      </c>
      <c r="I12" s="67"/>
      <c r="J12" s="67" t="s">
        <v>159</v>
      </c>
      <c r="K12" s="66" t="s">
        <v>1074</v>
      </c>
      <c r="L12" s="70"/>
      <c r="M12" s="71">
        <v>6780.12841796875</v>
      </c>
      <c r="N12" s="71">
        <v>4662.455078125</v>
      </c>
      <c r="O12" s="72"/>
      <c r="P12" s="73"/>
      <c r="Q12" s="73"/>
      <c r="R12" s="94"/>
      <c r="S12" s="45">
        <v>0</v>
      </c>
      <c r="T12" s="45">
        <v>1</v>
      </c>
      <c r="U12" s="46">
        <v>0</v>
      </c>
      <c r="V12" s="46">
        <v>0.030154</v>
      </c>
      <c r="W12" s="46">
        <v>0</v>
      </c>
      <c r="X12" s="46">
        <v>0.002061</v>
      </c>
      <c r="Y12" s="46">
        <v>0</v>
      </c>
      <c r="Z12" s="46">
        <v>0</v>
      </c>
      <c r="AA12" s="68">
        <v>12</v>
      </c>
      <c r="AB12" s="68"/>
      <c r="AC12" s="69"/>
      <c r="AD12" s="83" t="s">
        <v>1074</v>
      </c>
      <c r="AE12" s="83" t="s">
        <v>1930</v>
      </c>
      <c r="AF12" s="83"/>
      <c r="AG12" s="83"/>
      <c r="AH12" s="83"/>
      <c r="AI12" s="83" t="s">
        <v>2090</v>
      </c>
      <c r="AJ12" s="83" t="s">
        <v>2510</v>
      </c>
      <c r="AK12" s="89" t="str">
        <f>HYPERLINK("https://yt3.ggpht.com/ytc/AGIKgqNpVi0QXmrGFxK0GX3fARo3SqGuLpTMbjyEpr3O=s88-c-k-c0x00ffffff-no-rj")</f>
        <v>https://yt3.ggpht.com/ytc/AGIKgqNpVi0QXmrGFxK0GX3fARo3SqGuLpTMbjyEpr3O=s88-c-k-c0x00ffffff-no-rj</v>
      </c>
      <c r="AL12" s="83">
        <v>0</v>
      </c>
      <c r="AM12" s="83">
        <v>0</v>
      </c>
      <c r="AN12" s="83">
        <v>4</v>
      </c>
      <c r="AO12" s="83" t="b">
        <v>0</v>
      </c>
      <c r="AP12" s="83">
        <v>0</v>
      </c>
      <c r="AQ12" s="83"/>
      <c r="AR12" s="83"/>
      <c r="AS12" s="83" t="s">
        <v>2744</v>
      </c>
      <c r="AT12" s="89" t="str">
        <f>HYPERLINK("https://www.youtube.com/channel/UC7QjSOQ4lGY3IFNTpxWJYqw")</f>
        <v>https://www.youtube.com/channel/UC7QjSOQ4lGY3IFNTpxWJYqw</v>
      </c>
      <c r="AU12" s="83" t="str">
        <f>REPLACE(INDEX(GroupVertices[Group],MATCH(Vertices[[#This Row],[Vertex]],GroupVertices[Vertex],0)),1,1,"")</f>
        <v>5</v>
      </c>
      <c r="AV12" s="45"/>
      <c r="AW12" s="46"/>
      <c r="AX12" s="45"/>
      <c r="AY12" s="46"/>
      <c r="AZ12" s="45"/>
      <c r="BA12" s="46"/>
      <c r="BB12" s="45"/>
      <c r="BC12" s="46"/>
      <c r="BD12" s="45"/>
      <c r="BE12" s="110" t="s">
        <v>1874</v>
      </c>
      <c r="BF12" s="110" t="s">
        <v>1874</v>
      </c>
      <c r="BG12" s="110" t="s">
        <v>1874</v>
      </c>
      <c r="BH12" s="110" t="s">
        <v>1874</v>
      </c>
      <c r="BI12" s="2"/>
    </row>
    <row r="13" spans="1:61" ht="15">
      <c r="A13" s="61" t="s">
        <v>237</v>
      </c>
      <c r="B13" s="62" t="s">
        <v>2893</v>
      </c>
      <c r="C13" s="62"/>
      <c r="D13" s="63">
        <v>100</v>
      </c>
      <c r="E13" s="65">
        <v>50</v>
      </c>
      <c r="F13" s="100" t="str">
        <f>HYPERLINK("https://yt3.ggpht.com/ytc/AGIKgqNGPNd5_FdMYJutLXkd6WklDd0cLtXwsn6JqxxXjg=s88-c-k-c0x00ffffff-no-rj")</f>
        <v>https://yt3.ggpht.com/ytc/AGIKgqNGPNd5_FdMYJutLXkd6WklDd0cLtXwsn6JqxxXjg=s88-c-k-c0x00ffffff-no-rj</v>
      </c>
      <c r="G13" s="62"/>
      <c r="H13" s="66" t="s">
        <v>1075</v>
      </c>
      <c r="I13" s="67"/>
      <c r="J13" s="67" t="s">
        <v>159</v>
      </c>
      <c r="K13" s="66" t="s">
        <v>1075</v>
      </c>
      <c r="L13" s="70"/>
      <c r="M13" s="71">
        <v>6511.9814453125</v>
      </c>
      <c r="N13" s="71">
        <v>4662.455078125</v>
      </c>
      <c r="O13" s="72"/>
      <c r="P13" s="73"/>
      <c r="Q13" s="73"/>
      <c r="R13" s="94"/>
      <c r="S13" s="45">
        <v>0</v>
      </c>
      <c r="T13" s="45">
        <v>1</v>
      </c>
      <c r="U13" s="46">
        <v>0</v>
      </c>
      <c r="V13" s="46">
        <v>0.030154</v>
      </c>
      <c r="W13" s="46">
        <v>0</v>
      </c>
      <c r="X13" s="46">
        <v>0.002061</v>
      </c>
      <c r="Y13" s="46">
        <v>0</v>
      </c>
      <c r="Z13" s="46">
        <v>0</v>
      </c>
      <c r="AA13" s="68">
        <v>13</v>
      </c>
      <c r="AB13" s="68"/>
      <c r="AC13" s="69"/>
      <c r="AD13" s="83" t="s">
        <v>1075</v>
      </c>
      <c r="AE13" s="83" t="s">
        <v>1931</v>
      </c>
      <c r="AF13" s="83"/>
      <c r="AG13" s="83"/>
      <c r="AH13" s="83"/>
      <c r="AI13" s="83" t="s">
        <v>2091</v>
      </c>
      <c r="AJ13" s="83" t="s">
        <v>2511</v>
      </c>
      <c r="AK13" s="89" t="str">
        <f>HYPERLINK("https://yt3.ggpht.com/ytc/AGIKgqNGPNd5_FdMYJutLXkd6WklDd0cLtXwsn6JqxxXjg=s88-c-k-c0x00ffffff-no-rj")</f>
        <v>https://yt3.ggpht.com/ytc/AGIKgqNGPNd5_FdMYJutLXkd6WklDd0cLtXwsn6JqxxXjg=s88-c-k-c0x00ffffff-no-rj</v>
      </c>
      <c r="AL13" s="83">
        <v>0</v>
      </c>
      <c r="AM13" s="83">
        <v>0</v>
      </c>
      <c r="AN13" s="83">
        <v>8</v>
      </c>
      <c r="AO13" s="83" t="b">
        <v>0</v>
      </c>
      <c r="AP13" s="83">
        <v>0</v>
      </c>
      <c r="AQ13" s="83"/>
      <c r="AR13" s="83"/>
      <c r="AS13" s="83" t="s">
        <v>2744</v>
      </c>
      <c r="AT13" s="89" t="str">
        <f>HYPERLINK("https://www.youtube.com/channel/UC_H6K2-DSeDXUuMjGmuSmBA")</f>
        <v>https://www.youtube.com/channel/UC_H6K2-DSeDXUuMjGmuSmBA</v>
      </c>
      <c r="AU13" s="83" t="str">
        <f>REPLACE(INDEX(GroupVertices[Group],MATCH(Vertices[[#This Row],[Vertex]],GroupVertices[Vertex],0)),1,1,"")</f>
        <v>5</v>
      </c>
      <c r="AV13" s="45"/>
      <c r="AW13" s="46"/>
      <c r="AX13" s="45"/>
      <c r="AY13" s="46"/>
      <c r="AZ13" s="45"/>
      <c r="BA13" s="46"/>
      <c r="BB13" s="45"/>
      <c r="BC13" s="46"/>
      <c r="BD13" s="45"/>
      <c r="BE13" s="110" t="s">
        <v>1874</v>
      </c>
      <c r="BF13" s="110" t="s">
        <v>1874</v>
      </c>
      <c r="BG13" s="110" t="s">
        <v>1874</v>
      </c>
      <c r="BH13" s="110" t="s">
        <v>1874</v>
      </c>
      <c r="BI13" s="2"/>
    </row>
    <row r="14" spans="1:61" ht="15">
      <c r="A14" s="61" t="s">
        <v>238</v>
      </c>
      <c r="B14" s="62" t="s">
        <v>2893</v>
      </c>
      <c r="C14" s="62"/>
      <c r="D14" s="63">
        <v>100</v>
      </c>
      <c r="E14" s="65">
        <v>50</v>
      </c>
      <c r="F14" s="100" t="str">
        <f>HYPERLINK("https://yt3.ggpht.com/ytc/AGIKgqP6aXs6uzZLpvqFKJLA37EJtUidED-5EZwIDXAQ0g=s88-c-k-c0x00ffffff-no-rj")</f>
        <v>https://yt3.ggpht.com/ytc/AGIKgqP6aXs6uzZLpvqFKJLA37EJtUidED-5EZwIDXAQ0g=s88-c-k-c0x00ffffff-no-rj</v>
      </c>
      <c r="G14" s="62"/>
      <c r="H14" s="66" t="s">
        <v>1076</v>
      </c>
      <c r="I14" s="67"/>
      <c r="J14" s="67" t="s">
        <v>159</v>
      </c>
      <c r="K14" s="66" t="s">
        <v>1076</v>
      </c>
      <c r="L14" s="70"/>
      <c r="M14" s="71">
        <v>6243.8349609375</v>
      </c>
      <c r="N14" s="71">
        <v>4662.455078125</v>
      </c>
      <c r="O14" s="72"/>
      <c r="P14" s="73"/>
      <c r="Q14" s="73"/>
      <c r="R14" s="94"/>
      <c r="S14" s="45">
        <v>0</v>
      </c>
      <c r="T14" s="45">
        <v>1</v>
      </c>
      <c r="U14" s="46">
        <v>0</v>
      </c>
      <c r="V14" s="46">
        <v>0.030154</v>
      </c>
      <c r="W14" s="46">
        <v>0</v>
      </c>
      <c r="X14" s="46">
        <v>0.002061</v>
      </c>
      <c r="Y14" s="46">
        <v>0</v>
      </c>
      <c r="Z14" s="46">
        <v>0</v>
      </c>
      <c r="AA14" s="68">
        <v>14</v>
      </c>
      <c r="AB14" s="68"/>
      <c r="AC14" s="69"/>
      <c r="AD14" s="83" t="s">
        <v>1076</v>
      </c>
      <c r="AE14" s="83"/>
      <c r="AF14" s="83"/>
      <c r="AG14" s="83"/>
      <c r="AH14" s="83"/>
      <c r="AI14" s="83" t="s">
        <v>2092</v>
      </c>
      <c r="AJ14" s="83" t="s">
        <v>2512</v>
      </c>
      <c r="AK14" s="89" t="str">
        <f>HYPERLINK("https://yt3.ggpht.com/ytc/AGIKgqP6aXs6uzZLpvqFKJLA37EJtUidED-5EZwIDXAQ0g=s88-c-k-c0x00ffffff-no-rj")</f>
        <v>https://yt3.ggpht.com/ytc/AGIKgqP6aXs6uzZLpvqFKJLA37EJtUidED-5EZwIDXAQ0g=s88-c-k-c0x00ffffff-no-rj</v>
      </c>
      <c r="AL14" s="83">
        <v>0</v>
      </c>
      <c r="AM14" s="83">
        <v>0</v>
      </c>
      <c r="AN14" s="83">
        <v>7</v>
      </c>
      <c r="AO14" s="83" t="b">
        <v>0</v>
      </c>
      <c r="AP14" s="83">
        <v>0</v>
      </c>
      <c r="AQ14" s="83"/>
      <c r="AR14" s="83"/>
      <c r="AS14" s="83" t="s">
        <v>2744</v>
      </c>
      <c r="AT14" s="89" t="str">
        <f>HYPERLINK("https://www.youtube.com/channel/UCUDJTNrDc_nju8c7IaA_ntQ")</f>
        <v>https://www.youtube.com/channel/UCUDJTNrDc_nju8c7IaA_ntQ</v>
      </c>
      <c r="AU14" s="83" t="str">
        <f>REPLACE(INDEX(GroupVertices[Group],MATCH(Vertices[[#This Row],[Vertex]],GroupVertices[Vertex],0)),1,1,"")</f>
        <v>5</v>
      </c>
      <c r="AV14" s="45"/>
      <c r="AW14" s="46"/>
      <c r="AX14" s="45"/>
      <c r="AY14" s="46"/>
      <c r="AZ14" s="45"/>
      <c r="BA14" s="46"/>
      <c r="BB14" s="45"/>
      <c r="BC14" s="46"/>
      <c r="BD14" s="45"/>
      <c r="BE14" s="110" t="s">
        <v>1874</v>
      </c>
      <c r="BF14" s="110" t="s">
        <v>1874</v>
      </c>
      <c r="BG14" s="110" t="s">
        <v>1874</v>
      </c>
      <c r="BH14" s="110" t="s">
        <v>1874</v>
      </c>
      <c r="BI14" s="2"/>
    </row>
    <row r="15" spans="1:61" ht="15">
      <c r="A15" s="61" t="s">
        <v>239</v>
      </c>
      <c r="B15" s="62" t="s">
        <v>2893</v>
      </c>
      <c r="C15" s="62"/>
      <c r="D15" s="63">
        <v>100</v>
      </c>
      <c r="E15" s="65">
        <v>50</v>
      </c>
      <c r="F15" s="100" t="str">
        <f>HYPERLINK("https://yt3.ggpht.com/4B4maNwGP2r-9CNe9a1bz1eX8bJnfkp3N_Knz1QG0wYwAsduZf_AMOX666Kta4dy_MFDfvrcuQ=s88-c-k-c0x00ffffff-no-rj")</f>
        <v>https://yt3.ggpht.com/4B4maNwGP2r-9CNe9a1bz1eX8bJnfkp3N_Knz1QG0wYwAsduZf_AMOX666Kta4dy_MFDfvrcuQ=s88-c-k-c0x00ffffff-no-rj</v>
      </c>
      <c r="G15" s="62"/>
      <c r="H15" s="66" t="s">
        <v>1077</v>
      </c>
      <c r="I15" s="67"/>
      <c r="J15" s="67" t="s">
        <v>159</v>
      </c>
      <c r="K15" s="66" t="s">
        <v>1077</v>
      </c>
      <c r="L15" s="70"/>
      <c r="M15" s="71">
        <v>5975.6875</v>
      </c>
      <c r="N15" s="71">
        <v>4662.455078125</v>
      </c>
      <c r="O15" s="72"/>
      <c r="P15" s="73"/>
      <c r="Q15" s="73"/>
      <c r="R15" s="94"/>
      <c r="S15" s="45">
        <v>0</v>
      </c>
      <c r="T15" s="45">
        <v>1</v>
      </c>
      <c r="U15" s="46">
        <v>0</v>
      </c>
      <c r="V15" s="46">
        <v>0.030154</v>
      </c>
      <c r="W15" s="46">
        <v>0</v>
      </c>
      <c r="X15" s="46">
        <v>0.002061</v>
      </c>
      <c r="Y15" s="46">
        <v>0</v>
      </c>
      <c r="Z15" s="46">
        <v>0</v>
      </c>
      <c r="AA15" s="68">
        <v>15</v>
      </c>
      <c r="AB15" s="68"/>
      <c r="AC15" s="69"/>
      <c r="AD15" s="83" t="s">
        <v>1077</v>
      </c>
      <c r="AE15" s="83"/>
      <c r="AF15" s="83"/>
      <c r="AG15" s="83"/>
      <c r="AH15" s="83"/>
      <c r="AI15" s="83" t="s">
        <v>2093</v>
      </c>
      <c r="AJ15" s="83" t="s">
        <v>2513</v>
      </c>
      <c r="AK15" s="89" t="str">
        <f>HYPERLINK("https://yt3.ggpht.com/4B4maNwGP2r-9CNe9a1bz1eX8bJnfkp3N_Knz1QG0wYwAsduZf_AMOX666Kta4dy_MFDfvrcuQ=s88-c-k-c0x00ffffff-no-rj")</f>
        <v>https://yt3.ggpht.com/4B4maNwGP2r-9CNe9a1bz1eX8bJnfkp3N_Knz1QG0wYwAsduZf_AMOX666Kta4dy_MFDfvrcuQ=s88-c-k-c0x00ffffff-no-rj</v>
      </c>
      <c r="AL15" s="83">
        <v>0</v>
      </c>
      <c r="AM15" s="83">
        <v>0</v>
      </c>
      <c r="AN15" s="83">
        <v>33</v>
      </c>
      <c r="AO15" s="83" t="b">
        <v>0</v>
      </c>
      <c r="AP15" s="83">
        <v>0</v>
      </c>
      <c r="AQ15" s="83"/>
      <c r="AR15" s="83"/>
      <c r="AS15" s="83" t="s">
        <v>2744</v>
      </c>
      <c r="AT15" s="89" t="str">
        <f>HYPERLINK("https://www.youtube.com/channel/UCYSALmaMx_0V1ykA5Uqgn0w")</f>
        <v>https://www.youtube.com/channel/UCYSALmaMx_0V1ykA5Uqgn0w</v>
      </c>
      <c r="AU15" s="83" t="str">
        <f>REPLACE(INDEX(GroupVertices[Group],MATCH(Vertices[[#This Row],[Vertex]],GroupVertices[Vertex],0)),1,1,"")</f>
        <v>5</v>
      </c>
      <c r="AV15" s="45"/>
      <c r="AW15" s="46"/>
      <c r="AX15" s="45"/>
      <c r="AY15" s="46"/>
      <c r="AZ15" s="45"/>
      <c r="BA15" s="46"/>
      <c r="BB15" s="45"/>
      <c r="BC15" s="46"/>
      <c r="BD15" s="45"/>
      <c r="BE15" s="110" t="s">
        <v>1874</v>
      </c>
      <c r="BF15" s="110" t="s">
        <v>1874</v>
      </c>
      <c r="BG15" s="110" t="s">
        <v>1874</v>
      </c>
      <c r="BH15" s="110" t="s">
        <v>1874</v>
      </c>
      <c r="BI15" s="2"/>
    </row>
    <row r="16" spans="1:61" ht="15">
      <c r="A16" s="61" t="s">
        <v>240</v>
      </c>
      <c r="B16" s="62" t="s">
        <v>2893</v>
      </c>
      <c r="C16" s="62"/>
      <c r="D16" s="63">
        <v>100</v>
      </c>
      <c r="E16" s="65">
        <v>50</v>
      </c>
      <c r="F16" s="100" t="str">
        <f>HYPERLINK("https://yt3.ggpht.com/ytc/AGIKgqM09sTROYiq9OJlyoqrXBHGeV_tOGKX86Ro9A=s88-c-k-c0x00ffffff-no-rj")</f>
        <v>https://yt3.ggpht.com/ytc/AGIKgqM09sTROYiq9OJlyoqrXBHGeV_tOGKX86Ro9A=s88-c-k-c0x00ffffff-no-rj</v>
      </c>
      <c r="G16" s="62"/>
      <c r="H16" s="66" t="s">
        <v>1078</v>
      </c>
      <c r="I16" s="67"/>
      <c r="J16" s="67" t="s">
        <v>159</v>
      </c>
      <c r="K16" s="66" t="s">
        <v>1078</v>
      </c>
      <c r="L16" s="70"/>
      <c r="M16" s="71">
        <v>5707.541015625</v>
      </c>
      <c r="N16" s="71">
        <v>4662.455078125</v>
      </c>
      <c r="O16" s="72"/>
      <c r="P16" s="73"/>
      <c r="Q16" s="73"/>
      <c r="R16" s="94"/>
      <c r="S16" s="45">
        <v>0</v>
      </c>
      <c r="T16" s="45">
        <v>1</v>
      </c>
      <c r="U16" s="46">
        <v>0</v>
      </c>
      <c r="V16" s="46">
        <v>0.030154</v>
      </c>
      <c r="W16" s="46">
        <v>0</v>
      </c>
      <c r="X16" s="46">
        <v>0.002061</v>
      </c>
      <c r="Y16" s="46">
        <v>0</v>
      </c>
      <c r="Z16" s="46">
        <v>0</v>
      </c>
      <c r="AA16" s="68">
        <v>16</v>
      </c>
      <c r="AB16" s="68"/>
      <c r="AC16" s="69"/>
      <c r="AD16" s="83" t="s">
        <v>1078</v>
      </c>
      <c r="AE16" s="83"/>
      <c r="AF16" s="83"/>
      <c r="AG16" s="83"/>
      <c r="AH16" s="83"/>
      <c r="AI16" s="83" t="s">
        <v>2094</v>
      </c>
      <c r="AJ16" s="92">
        <v>42982.465474537035</v>
      </c>
      <c r="AK16" s="89" t="str">
        <f>HYPERLINK("https://yt3.ggpht.com/ytc/AGIKgqM09sTROYiq9OJlyoqrXBHGeV_tOGKX86Ro9A=s88-c-k-c0x00ffffff-no-rj")</f>
        <v>https://yt3.ggpht.com/ytc/AGIKgqM09sTROYiq9OJlyoqrXBHGeV_tOGKX86Ro9A=s88-c-k-c0x00ffffff-no-rj</v>
      </c>
      <c r="AL16" s="83">
        <v>0</v>
      </c>
      <c r="AM16" s="83">
        <v>0</v>
      </c>
      <c r="AN16" s="83">
        <v>3</v>
      </c>
      <c r="AO16" s="83" t="b">
        <v>0</v>
      </c>
      <c r="AP16" s="83">
        <v>0</v>
      </c>
      <c r="AQ16" s="83"/>
      <c r="AR16" s="83"/>
      <c r="AS16" s="83" t="s">
        <v>2744</v>
      </c>
      <c r="AT16" s="89" t="str">
        <f>HYPERLINK("https://www.youtube.com/channel/UC-ygckEHTVwRMZi9LVsf80A")</f>
        <v>https://www.youtube.com/channel/UC-ygckEHTVwRMZi9LVsf80A</v>
      </c>
      <c r="AU16" s="83" t="str">
        <f>REPLACE(INDEX(GroupVertices[Group],MATCH(Vertices[[#This Row],[Vertex]],GroupVertices[Vertex],0)),1,1,"")</f>
        <v>5</v>
      </c>
      <c r="AV16" s="45"/>
      <c r="AW16" s="46"/>
      <c r="AX16" s="45"/>
      <c r="AY16" s="46"/>
      <c r="AZ16" s="45"/>
      <c r="BA16" s="46"/>
      <c r="BB16" s="45"/>
      <c r="BC16" s="46"/>
      <c r="BD16" s="45"/>
      <c r="BE16" s="110" t="s">
        <v>1874</v>
      </c>
      <c r="BF16" s="110" t="s">
        <v>1874</v>
      </c>
      <c r="BG16" s="110" t="s">
        <v>1874</v>
      </c>
      <c r="BH16" s="110" t="s">
        <v>1874</v>
      </c>
      <c r="BI16" s="2"/>
    </row>
    <row r="17" spans="1:61" ht="15">
      <c r="A17" s="61" t="s">
        <v>241</v>
      </c>
      <c r="B17" s="62" t="s">
        <v>2893</v>
      </c>
      <c r="C17" s="62"/>
      <c r="D17" s="63">
        <v>100</v>
      </c>
      <c r="E17" s="65">
        <v>50</v>
      </c>
      <c r="F17" s="100" t="str">
        <f>HYPERLINK("https://yt3.ggpht.com/vDn1yT6yAbe1PfsElK84g_dQWXlQmdh0exZbrvb6FcO_eeeFxd5j9Z6ZBcipjV_pc-msblDWpw=s88-c-k-c0x00ffffff-no-rj")</f>
        <v>https://yt3.ggpht.com/vDn1yT6yAbe1PfsElK84g_dQWXlQmdh0exZbrvb6FcO_eeeFxd5j9Z6ZBcipjV_pc-msblDWpw=s88-c-k-c0x00ffffff-no-rj</v>
      </c>
      <c r="G17" s="62"/>
      <c r="H17" s="66" t="s">
        <v>1079</v>
      </c>
      <c r="I17" s="67"/>
      <c r="J17" s="67" t="s">
        <v>159</v>
      </c>
      <c r="K17" s="66" t="s">
        <v>1079</v>
      </c>
      <c r="L17" s="70"/>
      <c r="M17" s="71">
        <v>5439.39404296875</v>
      </c>
      <c r="N17" s="71">
        <v>4662.455078125</v>
      </c>
      <c r="O17" s="72"/>
      <c r="P17" s="73"/>
      <c r="Q17" s="73"/>
      <c r="R17" s="94"/>
      <c r="S17" s="45">
        <v>0</v>
      </c>
      <c r="T17" s="45">
        <v>1</v>
      </c>
      <c r="U17" s="46">
        <v>0</v>
      </c>
      <c r="V17" s="46">
        <v>0.030154</v>
      </c>
      <c r="W17" s="46">
        <v>0</v>
      </c>
      <c r="X17" s="46">
        <v>0.002061</v>
      </c>
      <c r="Y17" s="46">
        <v>0</v>
      </c>
      <c r="Z17" s="46">
        <v>0</v>
      </c>
      <c r="AA17" s="68">
        <v>17</v>
      </c>
      <c r="AB17" s="68"/>
      <c r="AC17" s="69"/>
      <c r="AD17" s="83" t="s">
        <v>1079</v>
      </c>
      <c r="AE17" s="83" t="s">
        <v>1932</v>
      </c>
      <c r="AF17" s="83"/>
      <c r="AG17" s="83"/>
      <c r="AH17" s="83"/>
      <c r="AI17" s="83" t="s">
        <v>2095</v>
      </c>
      <c r="AJ17" s="83" t="s">
        <v>2514</v>
      </c>
      <c r="AK17" s="89" t="str">
        <f>HYPERLINK("https://yt3.ggpht.com/vDn1yT6yAbe1PfsElK84g_dQWXlQmdh0exZbrvb6FcO_eeeFxd5j9Z6ZBcipjV_pc-msblDWpw=s88-c-k-c0x00ffffff-no-rj")</f>
        <v>https://yt3.ggpht.com/vDn1yT6yAbe1PfsElK84g_dQWXlQmdh0exZbrvb6FcO_eeeFxd5j9Z6ZBcipjV_pc-msblDWpw=s88-c-k-c0x00ffffff-no-rj</v>
      </c>
      <c r="AL17" s="83">
        <v>615741</v>
      </c>
      <c r="AM17" s="83">
        <v>0</v>
      </c>
      <c r="AN17" s="83">
        <v>716</v>
      </c>
      <c r="AO17" s="83" t="b">
        <v>0</v>
      </c>
      <c r="AP17" s="83">
        <v>281</v>
      </c>
      <c r="AQ17" s="83"/>
      <c r="AR17" s="83"/>
      <c r="AS17" s="83" t="s">
        <v>2744</v>
      </c>
      <c r="AT17" s="89" t="str">
        <f>HYPERLINK("https://www.youtube.com/channel/UCCYIWPy2scsIGJrXT0kgUAw")</f>
        <v>https://www.youtube.com/channel/UCCYIWPy2scsIGJrXT0kgUAw</v>
      </c>
      <c r="AU17" s="83" t="str">
        <f>REPLACE(INDEX(GroupVertices[Group],MATCH(Vertices[[#This Row],[Vertex]],GroupVertices[Vertex],0)),1,1,"")</f>
        <v>5</v>
      </c>
      <c r="AV17" s="45"/>
      <c r="AW17" s="46"/>
      <c r="AX17" s="45"/>
      <c r="AY17" s="46"/>
      <c r="AZ17" s="45"/>
      <c r="BA17" s="46"/>
      <c r="BB17" s="45"/>
      <c r="BC17" s="46"/>
      <c r="BD17" s="45"/>
      <c r="BE17" s="110" t="s">
        <v>1874</v>
      </c>
      <c r="BF17" s="110" t="s">
        <v>1874</v>
      </c>
      <c r="BG17" s="110" t="s">
        <v>1874</v>
      </c>
      <c r="BH17" s="110" t="s">
        <v>1874</v>
      </c>
      <c r="BI17" s="2"/>
    </row>
    <row r="18" spans="1:61" ht="15">
      <c r="A18" s="61" t="s">
        <v>242</v>
      </c>
      <c r="B18" s="62" t="s">
        <v>2893</v>
      </c>
      <c r="C18" s="62"/>
      <c r="D18" s="63">
        <v>100</v>
      </c>
      <c r="E18" s="65">
        <v>50</v>
      </c>
      <c r="F18" s="100" t="str">
        <f>HYPERLINK("https://yt3.ggpht.com/ytc/AGIKgqOK4NLozIGgmS67pXwXPKm4l9HEYai4ed2ZKA=s88-c-k-c0x00ffffff-no-rj")</f>
        <v>https://yt3.ggpht.com/ytc/AGIKgqOK4NLozIGgmS67pXwXPKm4l9HEYai4ed2ZKA=s88-c-k-c0x00ffffff-no-rj</v>
      </c>
      <c r="G18" s="62"/>
      <c r="H18" s="66" t="s">
        <v>1080</v>
      </c>
      <c r="I18" s="67"/>
      <c r="J18" s="67" t="s">
        <v>159</v>
      </c>
      <c r="K18" s="66" t="s">
        <v>1080</v>
      </c>
      <c r="L18" s="70"/>
      <c r="M18" s="71">
        <v>6780.12841796875</v>
      </c>
      <c r="N18" s="71">
        <v>5280.37060546875</v>
      </c>
      <c r="O18" s="72"/>
      <c r="P18" s="73"/>
      <c r="Q18" s="73"/>
      <c r="R18" s="94"/>
      <c r="S18" s="45">
        <v>0</v>
      </c>
      <c r="T18" s="45">
        <v>1</v>
      </c>
      <c r="U18" s="46">
        <v>0</v>
      </c>
      <c r="V18" s="46">
        <v>0.030154</v>
      </c>
      <c r="W18" s="46">
        <v>0</v>
      </c>
      <c r="X18" s="46">
        <v>0.002061</v>
      </c>
      <c r="Y18" s="46">
        <v>0</v>
      </c>
      <c r="Z18" s="46">
        <v>0</v>
      </c>
      <c r="AA18" s="68">
        <v>18</v>
      </c>
      <c r="AB18" s="68"/>
      <c r="AC18" s="69"/>
      <c r="AD18" s="83" t="s">
        <v>1080</v>
      </c>
      <c r="AE18" s="83"/>
      <c r="AF18" s="83"/>
      <c r="AG18" s="83"/>
      <c r="AH18" s="83"/>
      <c r="AI18" s="83" t="s">
        <v>2096</v>
      </c>
      <c r="AJ18" s="83" t="s">
        <v>2515</v>
      </c>
      <c r="AK18" s="89" t="str">
        <f>HYPERLINK("https://yt3.ggpht.com/ytc/AGIKgqOK4NLozIGgmS67pXwXPKm4l9HEYai4ed2ZKA=s88-c-k-c0x00ffffff-no-rj")</f>
        <v>https://yt3.ggpht.com/ytc/AGIKgqOK4NLozIGgmS67pXwXPKm4l9HEYai4ed2ZKA=s88-c-k-c0x00ffffff-no-rj</v>
      </c>
      <c r="AL18" s="83">
        <v>0</v>
      </c>
      <c r="AM18" s="83">
        <v>0</v>
      </c>
      <c r="AN18" s="83">
        <v>3</v>
      </c>
      <c r="AO18" s="83" t="b">
        <v>0</v>
      </c>
      <c r="AP18" s="83">
        <v>0</v>
      </c>
      <c r="AQ18" s="83"/>
      <c r="AR18" s="83"/>
      <c r="AS18" s="83" t="s">
        <v>2744</v>
      </c>
      <c r="AT18" s="89" t="str">
        <f>HYPERLINK("https://www.youtube.com/channel/UCGXDLzbl0ksOun3nlvAr9eQ")</f>
        <v>https://www.youtube.com/channel/UCGXDLzbl0ksOun3nlvAr9eQ</v>
      </c>
      <c r="AU18" s="83" t="str">
        <f>REPLACE(INDEX(GroupVertices[Group],MATCH(Vertices[[#This Row],[Vertex]],GroupVertices[Vertex],0)),1,1,"")</f>
        <v>5</v>
      </c>
      <c r="AV18" s="45"/>
      <c r="AW18" s="46"/>
      <c r="AX18" s="45"/>
      <c r="AY18" s="46"/>
      <c r="AZ18" s="45"/>
      <c r="BA18" s="46"/>
      <c r="BB18" s="45"/>
      <c r="BC18" s="46"/>
      <c r="BD18" s="45"/>
      <c r="BE18" s="110" t="s">
        <v>1874</v>
      </c>
      <c r="BF18" s="110" t="s">
        <v>1874</v>
      </c>
      <c r="BG18" s="110" t="s">
        <v>1874</v>
      </c>
      <c r="BH18" s="110" t="s">
        <v>1874</v>
      </c>
      <c r="BI18" s="2"/>
    </row>
    <row r="19" spans="1:61" ht="15">
      <c r="A19" s="61" t="s">
        <v>243</v>
      </c>
      <c r="B19" s="62" t="s">
        <v>2893</v>
      </c>
      <c r="C19" s="62"/>
      <c r="D19" s="63">
        <v>100</v>
      </c>
      <c r="E19" s="65">
        <v>50</v>
      </c>
      <c r="F19" s="100" t="str">
        <f>HYPERLINK("https://yt3.ggpht.com/ytc/AGIKgqOfxU3pgfW-kdDEdkrjPmQFKblcNExdv46SaP3Z=s88-c-k-c0x00ffffff-no-rj")</f>
        <v>https://yt3.ggpht.com/ytc/AGIKgqOfxU3pgfW-kdDEdkrjPmQFKblcNExdv46SaP3Z=s88-c-k-c0x00ffffff-no-rj</v>
      </c>
      <c r="G19" s="62"/>
      <c r="H19" s="66" t="s">
        <v>1081</v>
      </c>
      <c r="I19" s="67"/>
      <c r="J19" s="67" t="s">
        <v>159</v>
      </c>
      <c r="K19" s="66" t="s">
        <v>1081</v>
      </c>
      <c r="L19" s="70"/>
      <c r="M19" s="71">
        <v>6511.9814453125</v>
      </c>
      <c r="N19" s="71">
        <v>5280.37060546875</v>
      </c>
      <c r="O19" s="72"/>
      <c r="P19" s="73"/>
      <c r="Q19" s="73"/>
      <c r="R19" s="94"/>
      <c r="S19" s="45">
        <v>0</v>
      </c>
      <c r="T19" s="45">
        <v>1</v>
      </c>
      <c r="U19" s="46">
        <v>0</v>
      </c>
      <c r="V19" s="46">
        <v>0.030154</v>
      </c>
      <c r="W19" s="46">
        <v>0</v>
      </c>
      <c r="X19" s="46">
        <v>0.002061</v>
      </c>
      <c r="Y19" s="46">
        <v>0</v>
      </c>
      <c r="Z19" s="46">
        <v>0</v>
      </c>
      <c r="AA19" s="68">
        <v>19</v>
      </c>
      <c r="AB19" s="68"/>
      <c r="AC19" s="69"/>
      <c r="AD19" s="83" t="s">
        <v>1081</v>
      </c>
      <c r="AE19" s="83"/>
      <c r="AF19" s="83"/>
      <c r="AG19" s="83"/>
      <c r="AH19" s="83"/>
      <c r="AI19" s="83" t="s">
        <v>2097</v>
      </c>
      <c r="AJ19" s="92">
        <v>38905.55761574074</v>
      </c>
      <c r="AK19" s="89" t="str">
        <f>HYPERLINK("https://yt3.ggpht.com/ytc/AGIKgqOfxU3pgfW-kdDEdkrjPmQFKblcNExdv46SaP3Z=s88-c-k-c0x00ffffff-no-rj")</f>
        <v>https://yt3.ggpht.com/ytc/AGIKgqOfxU3pgfW-kdDEdkrjPmQFKblcNExdv46SaP3Z=s88-c-k-c0x00ffffff-no-rj</v>
      </c>
      <c r="AL19" s="83">
        <v>95</v>
      </c>
      <c r="AM19" s="83">
        <v>0</v>
      </c>
      <c r="AN19" s="83">
        <v>6</v>
      </c>
      <c r="AO19" s="83" t="b">
        <v>0</v>
      </c>
      <c r="AP19" s="83">
        <v>4</v>
      </c>
      <c r="AQ19" s="83"/>
      <c r="AR19" s="83"/>
      <c r="AS19" s="83" t="s">
        <v>2744</v>
      </c>
      <c r="AT19" s="89" t="str">
        <f>HYPERLINK("https://www.youtube.com/channel/UCdzpuJiYaTApFvutghFHd5A")</f>
        <v>https://www.youtube.com/channel/UCdzpuJiYaTApFvutghFHd5A</v>
      </c>
      <c r="AU19" s="83" t="str">
        <f>REPLACE(INDEX(GroupVertices[Group],MATCH(Vertices[[#This Row],[Vertex]],GroupVertices[Vertex],0)),1,1,"")</f>
        <v>5</v>
      </c>
      <c r="AV19" s="45"/>
      <c r="AW19" s="46"/>
      <c r="AX19" s="45"/>
      <c r="AY19" s="46"/>
      <c r="AZ19" s="45"/>
      <c r="BA19" s="46"/>
      <c r="BB19" s="45"/>
      <c r="BC19" s="46"/>
      <c r="BD19" s="45"/>
      <c r="BE19" s="110" t="s">
        <v>1874</v>
      </c>
      <c r="BF19" s="110" t="s">
        <v>1874</v>
      </c>
      <c r="BG19" s="110" t="s">
        <v>1874</v>
      </c>
      <c r="BH19" s="110" t="s">
        <v>1874</v>
      </c>
      <c r="BI19" s="2"/>
    </row>
    <row r="20" spans="1:61" ht="15">
      <c r="A20" s="61" t="s">
        <v>244</v>
      </c>
      <c r="B20" s="62" t="s">
        <v>2893</v>
      </c>
      <c r="C20" s="62"/>
      <c r="D20" s="63">
        <v>100</v>
      </c>
      <c r="E20" s="65">
        <v>50</v>
      </c>
      <c r="F20" s="100" t="str">
        <f>HYPERLINK("https://yt3.ggpht.com/ytc/AGIKgqM6sTnUk-nAhVwavtdeEHhL4KKfFUsF4JlAWuLt=s88-c-k-c0x00ffffff-no-rj")</f>
        <v>https://yt3.ggpht.com/ytc/AGIKgqM6sTnUk-nAhVwavtdeEHhL4KKfFUsF4JlAWuLt=s88-c-k-c0x00ffffff-no-rj</v>
      </c>
      <c r="G20" s="62"/>
      <c r="H20" s="66" t="s">
        <v>1082</v>
      </c>
      <c r="I20" s="67"/>
      <c r="J20" s="67" t="s">
        <v>159</v>
      </c>
      <c r="K20" s="66" t="s">
        <v>1082</v>
      </c>
      <c r="L20" s="70"/>
      <c r="M20" s="71">
        <v>6243.8349609375</v>
      </c>
      <c r="N20" s="71">
        <v>5280.37060546875</v>
      </c>
      <c r="O20" s="72"/>
      <c r="P20" s="73"/>
      <c r="Q20" s="73"/>
      <c r="R20" s="94"/>
      <c r="S20" s="45">
        <v>0</v>
      </c>
      <c r="T20" s="45">
        <v>1</v>
      </c>
      <c r="U20" s="46">
        <v>0</v>
      </c>
      <c r="V20" s="46">
        <v>0.030154</v>
      </c>
      <c r="W20" s="46">
        <v>0</v>
      </c>
      <c r="X20" s="46">
        <v>0.002061</v>
      </c>
      <c r="Y20" s="46">
        <v>0</v>
      </c>
      <c r="Z20" s="46">
        <v>0</v>
      </c>
      <c r="AA20" s="68">
        <v>20</v>
      </c>
      <c r="AB20" s="68"/>
      <c r="AC20" s="69"/>
      <c r="AD20" s="83" t="s">
        <v>1082</v>
      </c>
      <c r="AE20" s="83"/>
      <c r="AF20" s="83"/>
      <c r="AG20" s="83"/>
      <c r="AH20" s="83"/>
      <c r="AI20" s="83" t="s">
        <v>2098</v>
      </c>
      <c r="AJ20" s="83" t="s">
        <v>2516</v>
      </c>
      <c r="AK20" s="89" t="str">
        <f>HYPERLINK("https://yt3.ggpht.com/ytc/AGIKgqM6sTnUk-nAhVwavtdeEHhL4KKfFUsF4JlAWuLt=s88-c-k-c0x00ffffff-no-rj")</f>
        <v>https://yt3.ggpht.com/ytc/AGIKgqM6sTnUk-nAhVwavtdeEHhL4KKfFUsF4JlAWuLt=s88-c-k-c0x00ffffff-no-rj</v>
      </c>
      <c r="AL20" s="83">
        <v>509</v>
      </c>
      <c r="AM20" s="83">
        <v>0</v>
      </c>
      <c r="AN20" s="83">
        <v>6</v>
      </c>
      <c r="AO20" s="83" t="b">
        <v>0</v>
      </c>
      <c r="AP20" s="83">
        <v>3</v>
      </c>
      <c r="AQ20" s="83"/>
      <c r="AR20" s="83"/>
      <c r="AS20" s="83" t="s">
        <v>2744</v>
      </c>
      <c r="AT20" s="89" t="str">
        <f>HYPERLINK("https://www.youtube.com/channel/UC5O_YHYA-2CwAn7tJL9yUzA")</f>
        <v>https://www.youtube.com/channel/UC5O_YHYA-2CwAn7tJL9yUzA</v>
      </c>
      <c r="AU20" s="83" t="str">
        <f>REPLACE(INDEX(GroupVertices[Group],MATCH(Vertices[[#This Row],[Vertex]],GroupVertices[Vertex],0)),1,1,"")</f>
        <v>5</v>
      </c>
      <c r="AV20" s="45"/>
      <c r="AW20" s="46"/>
      <c r="AX20" s="45"/>
      <c r="AY20" s="46"/>
      <c r="AZ20" s="45"/>
      <c r="BA20" s="46"/>
      <c r="BB20" s="45"/>
      <c r="BC20" s="46"/>
      <c r="BD20" s="45"/>
      <c r="BE20" s="110" t="s">
        <v>1874</v>
      </c>
      <c r="BF20" s="110" t="s">
        <v>1874</v>
      </c>
      <c r="BG20" s="110" t="s">
        <v>1874</v>
      </c>
      <c r="BH20" s="110" t="s">
        <v>1874</v>
      </c>
      <c r="BI20" s="2"/>
    </row>
    <row r="21" spans="1:61" ht="15">
      <c r="A21" s="61" t="s">
        <v>245</v>
      </c>
      <c r="B21" s="62" t="s">
        <v>2893</v>
      </c>
      <c r="C21" s="62"/>
      <c r="D21" s="63">
        <v>100</v>
      </c>
      <c r="E21" s="65">
        <v>50</v>
      </c>
      <c r="F21" s="100" t="str">
        <f>HYPERLINK("https://yt3.ggpht.com/ytc/AGIKgqPVaSJWi9wjKwMyJcFyg9wFaftDGVyxNlhzPowcSA=s88-c-k-c0x00ffffff-no-rj")</f>
        <v>https://yt3.ggpht.com/ytc/AGIKgqPVaSJWi9wjKwMyJcFyg9wFaftDGVyxNlhzPowcSA=s88-c-k-c0x00ffffff-no-rj</v>
      </c>
      <c r="G21" s="62"/>
      <c r="H21" s="66" t="s">
        <v>1083</v>
      </c>
      <c r="I21" s="67"/>
      <c r="J21" s="67" t="s">
        <v>159</v>
      </c>
      <c r="K21" s="66" t="s">
        <v>1083</v>
      </c>
      <c r="L21" s="70"/>
      <c r="M21" s="71">
        <v>5975.6875</v>
      </c>
      <c r="N21" s="71">
        <v>5280.37060546875</v>
      </c>
      <c r="O21" s="72"/>
      <c r="P21" s="73"/>
      <c r="Q21" s="73"/>
      <c r="R21" s="94"/>
      <c r="S21" s="45">
        <v>0</v>
      </c>
      <c r="T21" s="45">
        <v>1</v>
      </c>
      <c r="U21" s="46">
        <v>0</v>
      </c>
      <c r="V21" s="46">
        <v>0.030154</v>
      </c>
      <c r="W21" s="46">
        <v>0</v>
      </c>
      <c r="X21" s="46">
        <v>0.002061</v>
      </c>
      <c r="Y21" s="46">
        <v>0</v>
      </c>
      <c r="Z21" s="46">
        <v>0</v>
      </c>
      <c r="AA21" s="68">
        <v>21</v>
      </c>
      <c r="AB21" s="68"/>
      <c r="AC21" s="69"/>
      <c r="AD21" s="83" t="s">
        <v>1083</v>
      </c>
      <c r="AE21" s="83" t="s">
        <v>1933</v>
      </c>
      <c r="AF21" s="83"/>
      <c r="AG21" s="83"/>
      <c r="AH21" s="83"/>
      <c r="AI21" s="83" t="s">
        <v>2099</v>
      </c>
      <c r="AJ21" s="92">
        <v>41068.27108796296</v>
      </c>
      <c r="AK21" s="89" t="str">
        <f>HYPERLINK("https://yt3.ggpht.com/ytc/AGIKgqPVaSJWi9wjKwMyJcFyg9wFaftDGVyxNlhzPowcSA=s88-c-k-c0x00ffffff-no-rj")</f>
        <v>https://yt3.ggpht.com/ytc/AGIKgqPVaSJWi9wjKwMyJcFyg9wFaftDGVyxNlhzPowcSA=s88-c-k-c0x00ffffff-no-rj</v>
      </c>
      <c r="AL21" s="83">
        <v>0</v>
      </c>
      <c r="AM21" s="83">
        <v>0</v>
      </c>
      <c r="AN21" s="83">
        <v>38</v>
      </c>
      <c r="AO21" s="83" t="b">
        <v>0</v>
      </c>
      <c r="AP21" s="83">
        <v>0</v>
      </c>
      <c r="AQ21" s="83"/>
      <c r="AR21" s="83"/>
      <c r="AS21" s="83" t="s">
        <v>2744</v>
      </c>
      <c r="AT21" s="89" t="str">
        <f>HYPERLINK("https://www.youtube.com/channel/UC8bKlk-DIJYq9qktzqLojaQ")</f>
        <v>https://www.youtube.com/channel/UC8bKlk-DIJYq9qktzqLojaQ</v>
      </c>
      <c r="AU21" s="83" t="str">
        <f>REPLACE(INDEX(GroupVertices[Group],MATCH(Vertices[[#This Row],[Vertex]],GroupVertices[Vertex],0)),1,1,"")</f>
        <v>5</v>
      </c>
      <c r="AV21" s="45"/>
      <c r="AW21" s="46"/>
      <c r="AX21" s="45"/>
      <c r="AY21" s="46"/>
      <c r="AZ21" s="45"/>
      <c r="BA21" s="46"/>
      <c r="BB21" s="45"/>
      <c r="BC21" s="46"/>
      <c r="BD21" s="45"/>
      <c r="BE21" s="110" t="s">
        <v>1874</v>
      </c>
      <c r="BF21" s="110" t="s">
        <v>1874</v>
      </c>
      <c r="BG21" s="110" t="s">
        <v>1874</v>
      </c>
      <c r="BH21" s="110" t="s">
        <v>1874</v>
      </c>
      <c r="BI21" s="2"/>
    </row>
    <row r="22" spans="1:61" ht="15">
      <c r="A22" s="61" t="s">
        <v>246</v>
      </c>
      <c r="B22" s="62" t="s">
        <v>2893</v>
      </c>
      <c r="C22" s="62"/>
      <c r="D22" s="63">
        <v>100</v>
      </c>
      <c r="E22" s="65">
        <v>50</v>
      </c>
      <c r="F22" s="100" t="str">
        <f>HYPERLINK("https://yt3.ggpht.com/ytc/AGIKgqN26QTF5qjXhxYf7zyRdOOeQ7w1O48ZihjThw=s88-c-k-c0x00ffffff-no-rj")</f>
        <v>https://yt3.ggpht.com/ytc/AGIKgqN26QTF5qjXhxYf7zyRdOOeQ7w1O48ZihjThw=s88-c-k-c0x00ffffff-no-rj</v>
      </c>
      <c r="G22" s="62"/>
      <c r="H22" s="66" t="s">
        <v>1084</v>
      </c>
      <c r="I22" s="67"/>
      <c r="J22" s="67" t="s">
        <v>159</v>
      </c>
      <c r="K22" s="66" t="s">
        <v>1084</v>
      </c>
      <c r="L22" s="70"/>
      <c r="M22" s="71">
        <v>5707.541015625</v>
      </c>
      <c r="N22" s="71">
        <v>5280.37060546875</v>
      </c>
      <c r="O22" s="72"/>
      <c r="P22" s="73"/>
      <c r="Q22" s="73"/>
      <c r="R22" s="94"/>
      <c r="S22" s="45">
        <v>0</v>
      </c>
      <c r="T22" s="45">
        <v>1</v>
      </c>
      <c r="U22" s="46">
        <v>0</v>
      </c>
      <c r="V22" s="46">
        <v>0.030154</v>
      </c>
      <c r="W22" s="46">
        <v>0</v>
      </c>
      <c r="X22" s="46">
        <v>0.002061</v>
      </c>
      <c r="Y22" s="46">
        <v>0</v>
      </c>
      <c r="Z22" s="46">
        <v>0</v>
      </c>
      <c r="AA22" s="68">
        <v>22</v>
      </c>
      <c r="AB22" s="68"/>
      <c r="AC22" s="69"/>
      <c r="AD22" s="83" t="s">
        <v>1084</v>
      </c>
      <c r="AE22" s="83"/>
      <c r="AF22" s="83"/>
      <c r="AG22" s="83"/>
      <c r="AH22" s="83"/>
      <c r="AI22" s="83" t="s">
        <v>2100</v>
      </c>
      <c r="AJ22" s="83" t="s">
        <v>2517</v>
      </c>
      <c r="AK22" s="89" t="str">
        <f>HYPERLINK("https://yt3.ggpht.com/ytc/AGIKgqN26QTF5qjXhxYf7zyRdOOeQ7w1O48ZihjThw=s88-c-k-c0x00ffffff-no-rj")</f>
        <v>https://yt3.ggpht.com/ytc/AGIKgqN26QTF5qjXhxYf7zyRdOOeQ7w1O48ZihjThw=s88-c-k-c0x00ffffff-no-rj</v>
      </c>
      <c r="AL22" s="83">
        <v>0</v>
      </c>
      <c r="AM22" s="83">
        <v>0</v>
      </c>
      <c r="AN22" s="83">
        <v>34</v>
      </c>
      <c r="AO22" s="83" t="b">
        <v>0</v>
      </c>
      <c r="AP22" s="83">
        <v>0</v>
      </c>
      <c r="AQ22" s="83"/>
      <c r="AR22" s="83"/>
      <c r="AS22" s="83" t="s">
        <v>2744</v>
      </c>
      <c r="AT22" s="89" t="str">
        <f>HYPERLINK("https://www.youtube.com/channel/UCWebd4X9IQn0Akf4h_y6dZQ")</f>
        <v>https://www.youtube.com/channel/UCWebd4X9IQn0Akf4h_y6dZQ</v>
      </c>
      <c r="AU22" s="83" t="str">
        <f>REPLACE(INDEX(GroupVertices[Group],MATCH(Vertices[[#This Row],[Vertex]],GroupVertices[Vertex],0)),1,1,"")</f>
        <v>5</v>
      </c>
      <c r="AV22" s="45"/>
      <c r="AW22" s="46"/>
      <c r="AX22" s="45"/>
      <c r="AY22" s="46"/>
      <c r="AZ22" s="45"/>
      <c r="BA22" s="46"/>
      <c r="BB22" s="45"/>
      <c r="BC22" s="46"/>
      <c r="BD22" s="45"/>
      <c r="BE22" s="110" t="s">
        <v>1874</v>
      </c>
      <c r="BF22" s="110" t="s">
        <v>1874</v>
      </c>
      <c r="BG22" s="110" t="s">
        <v>1874</v>
      </c>
      <c r="BH22" s="110" t="s">
        <v>1874</v>
      </c>
      <c r="BI22" s="2"/>
    </row>
    <row r="23" spans="1:61" ht="15">
      <c r="A23" s="61" t="s">
        <v>247</v>
      </c>
      <c r="B23" s="62" t="s">
        <v>2893</v>
      </c>
      <c r="C23" s="62"/>
      <c r="D23" s="63">
        <v>100</v>
      </c>
      <c r="E23" s="65">
        <v>50</v>
      </c>
      <c r="F23" s="100" t="str">
        <f>HYPERLINK("https://yt3.ggpht.com/ytc/AGIKgqP6-UjP4-DxIZ1CgIK-wlkryeWlPERvUyYoNg=s88-c-k-c0x00ffffff-no-rj")</f>
        <v>https://yt3.ggpht.com/ytc/AGIKgqP6-UjP4-DxIZ1CgIK-wlkryeWlPERvUyYoNg=s88-c-k-c0x00ffffff-no-rj</v>
      </c>
      <c r="G23" s="62"/>
      <c r="H23" s="66" t="s">
        <v>1085</v>
      </c>
      <c r="I23" s="67"/>
      <c r="J23" s="67" t="s">
        <v>159</v>
      </c>
      <c r="K23" s="66" t="s">
        <v>1085</v>
      </c>
      <c r="L23" s="70"/>
      <c r="M23" s="71">
        <v>5439.39404296875</v>
      </c>
      <c r="N23" s="71">
        <v>5280.37060546875</v>
      </c>
      <c r="O23" s="72"/>
      <c r="P23" s="73"/>
      <c r="Q23" s="73"/>
      <c r="R23" s="94"/>
      <c r="S23" s="45">
        <v>0</v>
      </c>
      <c r="T23" s="45">
        <v>1</v>
      </c>
      <c r="U23" s="46">
        <v>0</v>
      </c>
      <c r="V23" s="46">
        <v>0.030154</v>
      </c>
      <c r="W23" s="46">
        <v>0</v>
      </c>
      <c r="X23" s="46">
        <v>0.002061</v>
      </c>
      <c r="Y23" s="46">
        <v>0</v>
      </c>
      <c r="Z23" s="46">
        <v>0</v>
      </c>
      <c r="AA23" s="68">
        <v>23</v>
      </c>
      <c r="AB23" s="68"/>
      <c r="AC23" s="69"/>
      <c r="AD23" s="83" t="s">
        <v>1085</v>
      </c>
      <c r="AE23" s="83"/>
      <c r="AF23" s="83"/>
      <c r="AG23" s="83"/>
      <c r="AH23" s="83"/>
      <c r="AI23" s="83" t="s">
        <v>2101</v>
      </c>
      <c r="AJ23" s="92">
        <v>40550.09203703704</v>
      </c>
      <c r="AK23" s="89" t="str">
        <f>HYPERLINK("https://yt3.ggpht.com/ytc/AGIKgqP6-UjP4-DxIZ1CgIK-wlkryeWlPERvUyYoNg=s88-c-k-c0x00ffffff-no-rj")</f>
        <v>https://yt3.ggpht.com/ytc/AGIKgqP6-UjP4-DxIZ1CgIK-wlkryeWlPERvUyYoNg=s88-c-k-c0x00ffffff-no-rj</v>
      </c>
      <c r="AL23" s="83">
        <v>0</v>
      </c>
      <c r="AM23" s="83">
        <v>0</v>
      </c>
      <c r="AN23" s="83">
        <v>3</v>
      </c>
      <c r="AO23" s="83" t="b">
        <v>0</v>
      </c>
      <c r="AP23" s="83">
        <v>0</v>
      </c>
      <c r="AQ23" s="83"/>
      <c r="AR23" s="83"/>
      <c r="AS23" s="83" t="s">
        <v>2744</v>
      </c>
      <c r="AT23" s="89" t="str">
        <f>HYPERLINK("https://www.youtube.com/channel/UCLQJf_7sxppKIfXZTY8Oe-w")</f>
        <v>https://www.youtube.com/channel/UCLQJf_7sxppKIfXZTY8Oe-w</v>
      </c>
      <c r="AU23" s="83" t="str">
        <f>REPLACE(INDEX(GroupVertices[Group],MATCH(Vertices[[#This Row],[Vertex]],GroupVertices[Vertex],0)),1,1,"")</f>
        <v>5</v>
      </c>
      <c r="AV23" s="45"/>
      <c r="AW23" s="46"/>
      <c r="AX23" s="45"/>
      <c r="AY23" s="46"/>
      <c r="AZ23" s="45"/>
      <c r="BA23" s="46"/>
      <c r="BB23" s="45"/>
      <c r="BC23" s="46"/>
      <c r="BD23" s="45"/>
      <c r="BE23" s="110" t="s">
        <v>1874</v>
      </c>
      <c r="BF23" s="110" t="s">
        <v>1874</v>
      </c>
      <c r="BG23" s="110" t="s">
        <v>1874</v>
      </c>
      <c r="BH23" s="110" t="s">
        <v>1874</v>
      </c>
      <c r="BI23" s="2"/>
    </row>
    <row r="24" spans="1:61" ht="15">
      <c r="A24" s="61" t="s">
        <v>248</v>
      </c>
      <c r="B24" s="62" t="s">
        <v>2893</v>
      </c>
      <c r="C24" s="62"/>
      <c r="D24" s="63">
        <v>100</v>
      </c>
      <c r="E24" s="65">
        <v>50</v>
      </c>
      <c r="F24" s="100" t="str">
        <f>HYPERLINK("https://yt3.ggpht.com/ytc/AGIKgqMLRcMWKzrNyIV_txXtWtrVstynX8BTt-SEVGpS=s88-c-k-c0x00ffffff-no-rj")</f>
        <v>https://yt3.ggpht.com/ytc/AGIKgqMLRcMWKzrNyIV_txXtWtrVstynX8BTt-SEVGpS=s88-c-k-c0x00ffffff-no-rj</v>
      </c>
      <c r="G24" s="62"/>
      <c r="H24" s="66" t="s">
        <v>1086</v>
      </c>
      <c r="I24" s="67"/>
      <c r="J24" s="67" t="s">
        <v>159</v>
      </c>
      <c r="K24" s="66" t="s">
        <v>1086</v>
      </c>
      <c r="L24" s="70"/>
      <c r="M24" s="71">
        <v>6780.12841796875</v>
      </c>
      <c r="N24" s="71">
        <v>5898.28662109375</v>
      </c>
      <c r="O24" s="72"/>
      <c r="P24" s="73"/>
      <c r="Q24" s="73"/>
      <c r="R24" s="94"/>
      <c r="S24" s="45">
        <v>0</v>
      </c>
      <c r="T24" s="45">
        <v>1</v>
      </c>
      <c r="U24" s="46">
        <v>0</v>
      </c>
      <c r="V24" s="46">
        <v>0.030154</v>
      </c>
      <c r="W24" s="46">
        <v>0</v>
      </c>
      <c r="X24" s="46">
        <v>0.002061</v>
      </c>
      <c r="Y24" s="46">
        <v>0</v>
      </c>
      <c r="Z24" s="46">
        <v>0</v>
      </c>
      <c r="AA24" s="68">
        <v>24</v>
      </c>
      <c r="AB24" s="68"/>
      <c r="AC24" s="69"/>
      <c r="AD24" s="83" t="s">
        <v>1086</v>
      </c>
      <c r="AE24" s="83"/>
      <c r="AF24" s="83"/>
      <c r="AG24" s="83"/>
      <c r="AH24" s="83"/>
      <c r="AI24" s="83" t="s">
        <v>2102</v>
      </c>
      <c r="AJ24" s="83" t="s">
        <v>2518</v>
      </c>
      <c r="AK24" s="89" t="str">
        <f>HYPERLINK("https://yt3.ggpht.com/ytc/AGIKgqMLRcMWKzrNyIV_txXtWtrVstynX8BTt-SEVGpS=s88-c-k-c0x00ffffff-no-rj")</f>
        <v>https://yt3.ggpht.com/ytc/AGIKgqMLRcMWKzrNyIV_txXtWtrVstynX8BTt-SEVGpS=s88-c-k-c0x00ffffff-no-rj</v>
      </c>
      <c r="AL24" s="83">
        <v>0</v>
      </c>
      <c r="AM24" s="83">
        <v>0</v>
      </c>
      <c r="AN24" s="83">
        <v>8</v>
      </c>
      <c r="AO24" s="83" t="b">
        <v>0</v>
      </c>
      <c r="AP24" s="83">
        <v>0</v>
      </c>
      <c r="AQ24" s="83"/>
      <c r="AR24" s="83"/>
      <c r="AS24" s="83" t="s">
        <v>2744</v>
      </c>
      <c r="AT24" s="89" t="str">
        <f>HYPERLINK("https://www.youtube.com/channel/UCdp9-mg6d5lS9PwvMrPEPpw")</f>
        <v>https://www.youtube.com/channel/UCdp9-mg6d5lS9PwvMrPEPpw</v>
      </c>
      <c r="AU24" s="83" t="str">
        <f>REPLACE(INDEX(GroupVertices[Group],MATCH(Vertices[[#This Row],[Vertex]],GroupVertices[Vertex],0)),1,1,"")</f>
        <v>5</v>
      </c>
      <c r="AV24" s="45"/>
      <c r="AW24" s="46"/>
      <c r="AX24" s="45"/>
      <c r="AY24" s="46"/>
      <c r="AZ24" s="45"/>
      <c r="BA24" s="46"/>
      <c r="BB24" s="45"/>
      <c r="BC24" s="46"/>
      <c r="BD24" s="45"/>
      <c r="BE24" s="110" t="s">
        <v>1874</v>
      </c>
      <c r="BF24" s="110" t="s">
        <v>1874</v>
      </c>
      <c r="BG24" s="110" t="s">
        <v>1874</v>
      </c>
      <c r="BH24" s="110" t="s">
        <v>1874</v>
      </c>
      <c r="BI24" s="2"/>
    </row>
    <row r="25" spans="1:61" ht="15">
      <c r="A25" s="61" t="s">
        <v>249</v>
      </c>
      <c r="B25" s="62" t="s">
        <v>2893</v>
      </c>
      <c r="C25" s="62"/>
      <c r="D25" s="63">
        <v>100</v>
      </c>
      <c r="E25" s="65">
        <v>50</v>
      </c>
      <c r="F25" s="100" t="str">
        <f>HYPERLINK("https://yt3.ggpht.com/aVVrCniFLLKBPgY2JE0u9zCdCq98NYXhFO0AMIr4MMbNYYx7Qyzh1lpDwcGtOuqizGThSSHQjl0=s88-c-k-c0x00ffffff-no-rj")</f>
        <v>https://yt3.ggpht.com/aVVrCniFLLKBPgY2JE0u9zCdCq98NYXhFO0AMIr4MMbNYYx7Qyzh1lpDwcGtOuqizGThSSHQjl0=s88-c-k-c0x00ffffff-no-rj</v>
      </c>
      <c r="G25" s="62"/>
      <c r="H25" s="66" t="s">
        <v>1087</v>
      </c>
      <c r="I25" s="67"/>
      <c r="J25" s="67" t="s">
        <v>159</v>
      </c>
      <c r="K25" s="66" t="s">
        <v>1087</v>
      </c>
      <c r="L25" s="70"/>
      <c r="M25" s="71">
        <v>6511.9814453125</v>
      </c>
      <c r="N25" s="71">
        <v>5898.28662109375</v>
      </c>
      <c r="O25" s="72"/>
      <c r="P25" s="73"/>
      <c r="Q25" s="73"/>
      <c r="R25" s="94"/>
      <c r="S25" s="45">
        <v>0</v>
      </c>
      <c r="T25" s="45">
        <v>1</v>
      </c>
      <c r="U25" s="46">
        <v>0</v>
      </c>
      <c r="V25" s="46">
        <v>0.030154</v>
      </c>
      <c r="W25" s="46">
        <v>0</v>
      </c>
      <c r="X25" s="46">
        <v>0.002061</v>
      </c>
      <c r="Y25" s="46">
        <v>0</v>
      </c>
      <c r="Z25" s="46">
        <v>0</v>
      </c>
      <c r="AA25" s="68">
        <v>25</v>
      </c>
      <c r="AB25" s="68"/>
      <c r="AC25" s="69"/>
      <c r="AD25" s="83" t="s">
        <v>1087</v>
      </c>
      <c r="AE25" s="83"/>
      <c r="AF25" s="83"/>
      <c r="AG25" s="83"/>
      <c r="AH25" s="83"/>
      <c r="AI25" s="83" t="s">
        <v>2103</v>
      </c>
      <c r="AJ25" s="92">
        <v>44876.83047453704</v>
      </c>
      <c r="AK25" s="89" t="str">
        <f>HYPERLINK("https://yt3.ggpht.com/aVVrCniFLLKBPgY2JE0u9zCdCq98NYXhFO0AMIr4MMbNYYx7Qyzh1lpDwcGtOuqizGThSSHQjl0=s88-c-k-c0x00ffffff-no-rj")</f>
        <v>https://yt3.ggpht.com/aVVrCniFLLKBPgY2JE0u9zCdCq98NYXhFO0AMIr4MMbNYYx7Qyzh1lpDwcGtOuqizGThSSHQjl0=s88-c-k-c0x00ffffff-no-rj</v>
      </c>
      <c r="AL25" s="83">
        <v>0</v>
      </c>
      <c r="AM25" s="83">
        <v>0</v>
      </c>
      <c r="AN25" s="83">
        <v>0</v>
      </c>
      <c r="AO25" s="83" t="b">
        <v>0</v>
      </c>
      <c r="AP25" s="83">
        <v>0</v>
      </c>
      <c r="AQ25" s="83"/>
      <c r="AR25" s="83"/>
      <c r="AS25" s="83" t="s">
        <v>2744</v>
      </c>
      <c r="AT25" s="89" t="str">
        <f>HYPERLINK("https://www.youtube.com/channel/UCq8J60ZKx-MCnUnARTOhA3g")</f>
        <v>https://www.youtube.com/channel/UCq8J60ZKx-MCnUnARTOhA3g</v>
      </c>
      <c r="AU25" s="83" t="str">
        <f>REPLACE(INDEX(GroupVertices[Group],MATCH(Vertices[[#This Row],[Vertex]],GroupVertices[Vertex],0)),1,1,"")</f>
        <v>5</v>
      </c>
      <c r="AV25" s="45"/>
      <c r="AW25" s="46"/>
      <c r="AX25" s="45"/>
      <c r="AY25" s="46"/>
      <c r="AZ25" s="45"/>
      <c r="BA25" s="46"/>
      <c r="BB25" s="45"/>
      <c r="BC25" s="46"/>
      <c r="BD25" s="45"/>
      <c r="BE25" s="110" t="s">
        <v>1874</v>
      </c>
      <c r="BF25" s="110" t="s">
        <v>1874</v>
      </c>
      <c r="BG25" s="110" t="s">
        <v>1874</v>
      </c>
      <c r="BH25" s="110" t="s">
        <v>1874</v>
      </c>
      <c r="BI25" s="2"/>
    </row>
    <row r="26" spans="1:61" ht="15">
      <c r="A26" s="61" t="s">
        <v>250</v>
      </c>
      <c r="B26" s="62" t="s">
        <v>2893</v>
      </c>
      <c r="C26" s="62"/>
      <c r="D26" s="63">
        <v>100</v>
      </c>
      <c r="E26" s="65">
        <v>50</v>
      </c>
      <c r="F26" s="100" t="str">
        <f>HYPERLINK("https://yt3.ggpht.com/ytc/AGIKgqNOVRxL1HxrAfXiqxbIYZo_yBaKsVrrWlQS5j4m=s88-c-k-c0x00ffffff-no-rj")</f>
        <v>https://yt3.ggpht.com/ytc/AGIKgqNOVRxL1HxrAfXiqxbIYZo_yBaKsVrrWlQS5j4m=s88-c-k-c0x00ffffff-no-rj</v>
      </c>
      <c r="G26" s="62"/>
      <c r="H26" s="66" t="s">
        <v>1088</v>
      </c>
      <c r="I26" s="67"/>
      <c r="J26" s="67" t="s">
        <v>159</v>
      </c>
      <c r="K26" s="66" t="s">
        <v>1088</v>
      </c>
      <c r="L26" s="70"/>
      <c r="M26" s="71">
        <v>8715.8837890625</v>
      </c>
      <c r="N26" s="71">
        <v>3351.724609375</v>
      </c>
      <c r="O26" s="72"/>
      <c r="P26" s="73"/>
      <c r="Q26" s="73"/>
      <c r="R26" s="94"/>
      <c r="S26" s="45">
        <v>0</v>
      </c>
      <c r="T26" s="45">
        <v>1</v>
      </c>
      <c r="U26" s="46">
        <v>0</v>
      </c>
      <c r="V26" s="46">
        <v>0.008911</v>
      </c>
      <c r="W26" s="46">
        <v>0</v>
      </c>
      <c r="X26" s="46">
        <v>0.002085</v>
      </c>
      <c r="Y26" s="46">
        <v>0</v>
      </c>
      <c r="Z26" s="46">
        <v>0</v>
      </c>
      <c r="AA26" s="68">
        <v>26</v>
      </c>
      <c r="AB26" s="68"/>
      <c r="AC26" s="69"/>
      <c r="AD26" s="83" t="s">
        <v>1088</v>
      </c>
      <c r="AE26" s="83"/>
      <c r="AF26" s="83"/>
      <c r="AG26" s="83"/>
      <c r="AH26" s="83"/>
      <c r="AI26" s="83" t="s">
        <v>2104</v>
      </c>
      <c r="AJ26" s="83" t="s">
        <v>2519</v>
      </c>
      <c r="AK26" s="89" t="str">
        <f>HYPERLINK("https://yt3.ggpht.com/ytc/AGIKgqNOVRxL1HxrAfXiqxbIYZo_yBaKsVrrWlQS5j4m=s88-c-k-c0x00ffffff-no-rj")</f>
        <v>https://yt3.ggpht.com/ytc/AGIKgqNOVRxL1HxrAfXiqxbIYZo_yBaKsVrrWlQS5j4m=s88-c-k-c0x00ffffff-no-rj</v>
      </c>
      <c r="AL26" s="83">
        <v>0</v>
      </c>
      <c r="AM26" s="83">
        <v>0</v>
      </c>
      <c r="AN26" s="83">
        <v>1</v>
      </c>
      <c r="AO26" s="83" t="b">
        <v>0</v>
      </c>
      <c r="AP26" s="83">
        <v>0</v>
      </c>
      <c r="AQ26" s="83"/>
      <c r="AR26" s="83"/>
      <c r="AS26" s="83" t="s">
        <v>2744</v>
      </c>
      <c r="AT26" s="89" t="str">
        <f>HYPERLINK("https://www.youtube.com/channel/UCHOII6DuvqAl0QGk6HWdEtg")</f>
        <v>https://www.youtube.com/channel/UCHOII6DuvqAl0QGk6HWdEtg</v>
      </c>
      <c r="AU26" s="83" t="str">
        <f>REPLACE(INDEX(GroupVertices[Group],MATCH(Vertices[[#This Row],[Vertex]],GroupVertices[Vertex],0)),1,1,"")</f>
        <v>13</v>
      </c>
      <c r="AV26" s="45"/>
      <c r="AW26" s="46"/>
      <c r="AX26" s="45"/>
      <c r="AY26" s="46"/>
      <c r="AZ26" s="45"/>
      <c r="BA26" s="46"/>
      <c r="BB26" s="45"/>
      <c r="BC26" s="46"/>
      <c r="BD26" s="45"/>
      <c r="BE26" s="110" t="s">
        <v>1874</v>
      </c>
      <c r="BF26" s="110" t="s">
        <v>1874</v>
      </c>
      <c r="BG26" s="110" t="s">
        <v>1874</v>
      </c>
      <c r="BH26" s="110" t="s">
        <v>1874</v>
      </c>
      <c r="BI26" s="2"/>
    </row>
    <row r="27" spans="1:61" ht="15">
      <c r="A27" s="61" t="s">
        <v>606</v>
      </c>
      <c r="B27" s="62" t="s">
        <v>2893</v>
      </c>
      <c r="C27" s="62"/>
      <c r="D27" s="63">
        <v>171.2871287128713</v>
      </c>
      <c r="E27" s="65">
        <v>100</v>
      </c>
      <c r="F27" s="100" t="str">
        <f>HYPERLINK("https://yt3.ggpht.com/U08Eyh39bgW7ZpZ3vMCGrhOUmhwX-Q9nrxzyVgWlbhNd6V7chOjP0s2h_xy3SXPBHaFlm7VAGw=s88-c-k-c0x00ffffff-no-rj")</f>
        <v>https://yt3.ggpht.com/U08Eyh39bgW7ZpZ3vMCGrhOUmhwX-Q9nrxzyVgWlbhNd6V7chOjP0s2h_xy3SXPBHaFlm7VAGw=s88-c-k-c0x00ffffff-no-rj</v>
      </c>
      <c r="G27" s="62"/>
      <c r="H27" s="66" t="s">
        <v>1444</v>
      </c>
      <c r="I27" s="67"/>
      <c r="J27" s="67" t="s">
        <v>75</v>
      </c>
      <c r="K27" s="66" t="s">
        <v>1444</v>
      </c>
      <c r="L27" s="70"/>
      <c r="M27" s="71">
        <v>8715.8837890625</v>
      </c>
      <c r="N27" s="71">
        <v>4287.96044921875</v>
      </c>
      <c r="O27" s="72"/>
      <c r="P27" s="73"/>
      <c r="Q27" s="73"/>
      <c r="R27" s="94"/>
      <c r="S27" s="45">
        <v>8</v>
      </c>
      <c r="T27" s="45">
        <v>1</v>
      </c>
      <c r="U27" s="46">
        <v>42</v>
      </c>
      <c r="V27" s="46">
        <v>0.016548</v>
      </c>
      <c r="W27" s="46">
        <v>0</v>
      </c>
      <c r="X27" s="46">
        <v>0.004274</v>
      </c>
      <c r="Y27" s="46">
        <v>0</v>
      </c>
      <c r="Z27" s="46">
        <v>0</v>
      </c>
      <c r="AA27" s="68">
        <v>27</v>
      </c>
      <c r="AB27" s="68"/>
      <c r="AC27" s="69"/>
      <c r="AD27" s="83" t="s">
        <v>1444</v>
      </c>
      <c r="AE27" s="83" t="s">
        <v>1934</v>
      </c>
      <c r="AF27" s="83"/>
      <c r="AG27" s="83"/>
      <c r="AH27" s="83"/>
      <c r="AI27" s="83" t="s">
        <v>2105</v>
      </c>
      <c r="AJ27" s="83" t="s">
        <v>2520</v>
      </c>
      <c r="AK27" s="89" t="str">
        <f>HYPERLINK("https://yt3.ggpht.com/U08Eyh39bgW7ZpZ3vMCGrhOUmhwX-Q9nrxzyVgWlbhNd6V7chOjP0s2h_xy3SXPBHaFlm7VAGw=s88-c-k-c0x00ffffff-no-rj")</f>
        <v>https://yt3.ggpht.com/U08Eyh39bgW7ZpZ3vMCGrhOUmhwX-Q9nrxzyVgWlbhNd6V7chOjP0s2h_xy3SXPBHaFlm7VAGw=s88-c-k-c0x00ffffff-no-rj</v>
      </c>
      <c r="AL27" s="83">
        <v>1375734</v>
      </c>
      <c r="AM27" s="83">
        <v>0</v>
      </c>
      <c r="AN27" s="83">
        <v>15800</v>
      </c>
      <c r="AO27" s="83" t="b">
        <v>0</v>
      </c>
      <c r="AP27" s="83">
        <v>1005</v>
      </c>
      <c r="AQ27" s="83"/>
      <c r="AR27" s="83"/>
      <c r="AS27" s="83" t="s">
        <v>2744</v>
      </c>
      <c r="AT27" s="89" t="str">
        <f>HYPERLINK("https://www.youtube.com/channel/UCw4G4L-F-mD5zMljpvc2gtA")</f>
        <v>https://www.youtube.com/channel/UCw4G4L-F-mD5zMljpvc2gtA</v>
      </c>
      <c r="AU27" s="83" t="str">
        <f>REPLACE(INDEX(GroupVertices[Group],MATCH(Vertices[[#This Row],[Vertex]],GroupVertices[Vertex],0)),1,1,"")</f>
        <v>13</v>
      </c>
      <c r="AV27" s="45"/>
      <c r="AW27" s="46"/>
      <c r="AX27" s="45"/>
      <c r="AY27" s="46"/>
      <c r="AZ27" s="45"/>
      <c r="BA27" s="46"/>
      <c r="BB27" s="45"/>
      <c r="BC27" s="46"/>
      <c r="BD27" s="45"/>
      <c r="BE27" s="110" t="s">
        <v>1874</v>
      </c>
      <c r="BF27" s="110" t="s">
        <v>1874</v>
      </c>
      <c r="BG27" s="110" t="s">
        <v>1874</v>
      </c>
      <c r="BH27" s="110" t="s">
        <v>1874</v>
      </c>
      <c r="BI27" s="2"/>
    </row>
    <row r="28" spans="1:61" ht="15">
      <c r="A28" s="61" t="s">
        <v>251</v>
      </c>
      <c r="B28" s="62" t="s">
        <v>2893</v>
      </c>
      <c r="C28" s="62"/>
      <c r="D28" s="63">
        <v>100</v>
      </c>
      <c r="E28" s="65">
        <v>50</v>
      </c>
      <c r="F28" s="100" t="str">
        <f>HYPERLINK("https://yt3.ggpht.com/ytc/AGIKgqNFvvIGkDVpLcczvbHkHUsKpu940_IKs4sQvC4Auw=s88-c-k-c0x00ffffff-no-rj")</f>
        <v>https://yt3.ggpht.com/ytc/AGIKgqNFvvIGkDVpLcczvbHkHUsKpu940_IKs4sQvC4Auw=s88-c-k-c0x00ffffff-no-rj</v>
      </c>
      <c r="G28" s="62"/>
      <c r="H28" s="66" t="s">
        <v>1089</v>
      </c>
      <c r="I28" s="67"/>
      <c r="J28" s="67" t="s">
        <v>159</v>
      </c>
      <c r="K28" s="66" t="s">
        <v>1089</v>
      </c>
      <c r="L28" s="70"/>
      <c r="M28" s="71">
        <v>8401.19921875</v>
      </c>
      <c r="N28" s="71">
        <v>3351.724609375</v>
      </c>
      <c r="O28" s="72"/>
      <c r="P28" s="73"/>
      <c r="Q28" s="73"/>
      <c r="R28" s="94"/>
      <c r="S28" s="45">
        <v>0</v>
      </c>
      <c r="T28" s="45">
        <v>1</v>
      </c>
      <c r="U28" s="46">
        <v>0</v>
      </c>
      <c r="V28" s="46">
        <v>0.008911</v>
      </c>
      <c r="W28" s="46">
        <v>0</v>
      </c>
      <c r="X28" s="46">
        <v>0.002085</v>
      </c>
      <c r="Y28" s="46">
        <v>0</v>
      </c>
      <c r="Z28" s="46">
        <v>0</v>
      </c>
      <c r="AA28" s="68">
        <v>28</v>
      </c>
      <c r="AB28" s="68"/>
      <c r="AC28" s="69"/>
      <c r="AD28" s="83" t="s">
        <v>1089</v>
      </c>
      <c r="AE28" s="83"/>
      <c r="AF28" s="83"/>
      <c r="AG28" s="83"/>
      <c r="AH28" s="83"/>
      <c r="AI28" s="83" t="s">
        <v>2106</v>
      </c>
      <c r="AJ28" s="83" t="s">
        <v>2521</v>
      </c>
      <c r="AK28" s="89" t="str">
        <f>HYPERLINK("https://yt3.ggpht.com/ytc/AGIKgqNFvvIGkDVpLcczvbHkHUsKpu940_IKs4sQvC4Auw=s88-c-k-c0x00ffffff-no-rj")</f>
        <v>https://yt3.ggpht.com/ytc/AGIKgqNFvvIGkDVpLcczvbHkHUsKpu940_IKs4sQvC4Auw=s88-c-k-c0x00ffffff-no-rj</v>
      </c>
      <c r="AL28" s="83">
        <v>0</v>
      </c>
      <c r="AM28" s="83">
        <v>0</v>
      </c>
      <c r="AN28" s="83">
        <v>39</v>
      </c>
      <c r="AO28" s="83" t="b">
        <v>0</v>
      </c>
      <c r="AP28" s="83">
        <v>0</v>
      </c>
      <c r="AQ28" s="83"/>
      <c r="AR28" s="83"/>
      <c r="AS28" s="83" t="s">
        <v>2744</v>
      </c>
      <c r="AT28" s="89" t="str">
        <f>HYPERLINK("https://www.youtube.com/channel/UC1Sb6Fskyuo9ho4uLU4xGHA")</f>
        <v>https://www.youtube.com/channel/UC1Sb6Fskyuo9ho4uLU4xGHA</v>
      </c>
      <c r="AU28" s="83" t="str">
        <f>REPLACE(INDEX(GroupVertices[Group],MATCH(Vertices[[#This Row],[Vertex]],GroupVertices[Vertex],0)),1,1,"")</f>
        <v>13</v>
      </c>
      <c r="AV28" s="45"/>
      <c r="AW28" s="46"/>
      <c r="AX28" s="45"/>
      <c r="AY28" s="46"/>
      <c r="AZ28" s="45"/>
      <c r="BA28" s="46"/>
      <c r="BB28" s="45"/>
      <c r="BC28" s="46"/>
      <c r="BD28" s="45"/>
      <c r="BE28" s="110" t="s">
        <v>1874</v>
      </c>
      <c r="BF28" s="110" t="s">
        <v>1874</v>
      </c>
      <c r="BG28" s="110" t="s">
        <v>1874</v>
      </c>
      <c r="BH28" s="110" t="s">
        <v>1874</v>
      </c>
      <c r="BI28" s="2"/>
    </row>
    <row r="29" spans="1:61" ht="15">
      <c r="A29" s="61" t="s">
        <v>252</v>
      </c>
      <c r="B29" s="62" t="s">
        <v>2893</v>
      </c>
      <c r="C29" s="62"/>
      <c r="D29" s="63">
        <v>100</v>
      </c>
      <c r="E29" s="65">
        <v>50</v>
      </c>
      <c r="F29" s="100" t="str">
        <f>HYPERLINK("https://yt3.ggpht.com/ytc/AGIKgqP4yAe0tKmcPpRzK1TGR5o-o2YCb75zkLlTfEz9zsdu03CGrOGfJuC01jZwFVNT=s88-c-k-c0x00ffffff-no-rj")</f>
        <v>https://yt3.ggpht.com/ytc/AGIKgqP4yAe0tKmcPpRzK1TGR5o-o2YCb75zkLlTfEz9zsdu03CGrOGfJuC01jZwFVNT=s88-c-k-c0x00ffffff-no-rj</v>
      </c>
      <c r="G29" s="62"/>
      <c r="H29" s="66" t="s">
        <v>1090</v>
      </c>
      <c r="I29" s="67"/>
      <c r="J29" s="67" t="s">
        <v>159</v>
      </c>
      <c r="K29" s="66" t="s">
        <v>1090</v>
      </c>
      <c r="L29" s="70"/>
      <c r="M29" s="71">
        <v>9030.568359375</v>
      </c>
      <c r="N29" s="71">
        <v>3819.8427734375</v>
      </c>
      <c r="O29" s="72"/>
      <c r="P29" s="73"/>
      <c r="Q29" s="73"/>
      <c r="R29" s="94"/>
      <c r="S29" s="45">
        <v>0</v>
      </c>
      <c r="T29" s="45">
        <v>1</v>
      </c>
      <c r="U29" s="46">
        <v>0</v>
      </c>
      <c r="V29" s="46">
        <v>0.008911</v>
      </c>
      <c r="W29" s="46">
        <v>0</v>
      </c>
      <c r="X29" s="46">
        <v>0.002085</v>
      </c>
      <c r="Y29" s="46">
        <v>0</v>
      </c>
      <c r="Z29" s="46">
        <v>0</v>
      </c>
      <c r="AA29" s="68">
        <v>29</v>
      </c>
      <c r="AB29" s="68"/>
      <c r="AC29" s="69"/>
      <c r="AD29" s="83" t="s">
        <v>1090</v>
      </c>
      <c r="AE29" s="83"/>
      <c r="AF29" s="83"/>
      <c r="AG29" s="83"/>
      <c r="AH29" s="83"/>
      <c r="AI29" s="83" t="s">
        <v>2107</v>
      </c>
      <c r="AJ29" s="92">
        <v>41061.30605324074</v>
      </c>
      <c r="AK29" s="89" t="str">
        <f>HYPERLINK("https://yt3.ggpht.com/ytc/AGIKgqP4yAe0tKmcPpRzK1TGR5o-o2YCb75zkLlTfEz9zsdu03CGrOGfJuC01jZwFVNT=s88-c-k-c0x00ffffff-no-rj")</f>
        <v>https://yt3.ggpht.com/ytc/AGIKgqP4yAe0tKmcPpRzK1TGR5o-o2YCb75zkLlTfEz9zsdu03CGrOGfJuC01jZwFVNT=s88-c-k-c0x00ffffff-no-rj</v>
      </c>
      <c r="AL29" s="83">
        <v>144</v>
      </c>
      <c r="AM29" s="83">
        <v>0</v>
      </c>
      <c r="AN29" s="83">
        <v>0</v>
      </c>
      <c r="AO29" s="83" t="b">
        <v>0</v>
      </c>
      <c r="AP29" s="83">
        <v>1</v>
      </c>
      <c r="AQ29" s="83"/>
      <c r="AR29" s="83"/>
      <c r="AS29" s="83" t="s">
        <v>2744</v>
      </c>
      <c r="AT29" s="89" t="str">
        <f>HYPERLINK("https://www.youtube.com/channel/UCXUs_nk0mXyVs9w2nSQ2L0w")</f>
        <v>https://www.youtube.com/channel/UCXUs_nk0mXyVs9w2nSQ2L0w</v>
      </c>
      <c r="AU29" s="83" t="str">
        <f>REPLACE(INDEX(GroupVertices[Group],MATCH(Vertices[[#This Row],[Vertex]],GroupVertices[Vertex],0)),1,1,"")</f>
        <v>13</v>
      </c>
      <c r="AV29" s="45"/>
      <c r="AW29" s="46"/>
      <c r="AX29" s="45"/>
      <c r="AY29" s="46"/>
      <c r="AZ29" s="45"/>
      <c r="BA29" s="46"/>
      <c r="BB29" s="45"/>
      <c r="BC29" s="46"/>
      <c r="BD29" s="45"/>
      <c r="BE29" s="110" t="s">
        <v>1874</v>
      </c>
      <c r="BF29" s="110" t="s">
        <v>1874</v>
      </c>
      <c r="BG29" s="110" t="s">
        <v>1874</v>
      </c>
      <c r="BH29" s="110" t="s">
        <v>1874</v>
      </c>
      <c r="BI29" s="2"/>
    </row>
    <row r="30" spans="1:61" ht="15">
      <c r="A30" s="61" t="s">
        <v>253</v>
      </c>
      <c r="B30" s="62" t="s">
        <v>2893</v>
      </c>
      <c r="C30" s="62"/>
      <c r="D30" s="63">
        <v>100</v>
      </c>
      <c r="E30" s="65">
        <v>50</v>
      </c>
      <c r="F30" s="100" t="str">
        <f>HYPERLINK("https://yt3.ggpht.com/ytc/AGIKgqP6R57YHiSC74nzILPZRUBWpVyDWLCr7zVRsg=s88-c-k-c0x00ffffff-no-rj")</f>
        <v>https://yt3.ggpht.com/ytc/AGIKgqP6R57YHiSC74nzILPZRUBWpVyDWLCr7zVRsg=s88-c-k-c0x00ffffff-no-rj</v>
      </c>
      <c r="G30" s="62"/>
      <c r="H30" s="66" t="s">
        <v>1091</v>
      </c>
      <c r="I30" s="67"/>
      <c r="J30" s="67" t="s">
        <v>159</v>
      </c>
      <c r="K30" s="66" t="s">
        <v>1091</v>
      </c>
      <c r="L30" s="70"/>
      <c r="M30" s="71">
        <v>8715.8837890625</v>
      </c>
      <c r="N30" s="71">
        <v>3819.8427734375</v>
      </c>
      <c r="O30" s="72"/>
      <c r="P30" s="73"/>
      <c r="Q30" s="73"/>
      <c r="R30" s="94"/>
      <c r="S30" s="45">
        <v>0</v>
      </c>
      <c r="T30" s="45">
        <v>1</v>
      </c>
      <c r="U30" s="46">
        <v>0</v>
      </c>
      <c r="V30" s="46">
        <v>0.008911</v>
      </c>
      <c r="W30" s="46">
        <v>0</v>
      </c>
      <c r="X30" s="46">
        <v>0.002085</v>
      </c>
      <c r="Y30" s="46">
        <v>0</v>
      </c>
      <c r="Z30" s="46">
        <v>0</v>
      </c>
      <c r="AA30" s="68">
        <v>30</v>
      </c>
      <c r="AB30" s="68"/>
      <c r="AC30" s="69"/>
      <c r="AD30" s="83" t="s">
        <v>1091</v>
      </c>
      <c r="AE30" s="83"/>
      <c r="AF30" s="83"/>
      <c r="AG30" s="83"/>
      <c r="AH30" s="83"/>
      <c r="AI30" s="83" t="s">
        <v>2108</v>
      </c>
      <c r="AJ30" s="83" t="s">
        <v>2522</v>
      </c>
      <c r="AK30" s="89" t="str">
        <f>HYPERLINK("https://yt3.ggpht.com/ytc/AGIKgqP6R57YHiSC74nzILPZRUBWpVyDWLCr7zVRsg=s88-c-k-c0x00ffffff-no-rj")</f>
        <v>https://yt3.ggpht.com/ytc/AGIKgqP6R57YHiSC74nzILPZRUBWpVyDWLCr7zVRsg=s88-c-k-c0x00ffffff-no-rj</v>
      </c>
      <c r="AL30" s="83">
        <v>38</v>
      </c>
      <c r="AM30" s="83">
        <v>0</v>
      </c>
      <c r="AN30" s="83">
        <v>10</v>
      </c>
      <c r="AO30" s="83" t="b">
        <v>0</v>
      </c>
      <c r="AP30" s="83">
        <v>1</v>
      </c>
      <c r="AQ30" s="83"/>
      <c r="AR30" s="83"/>
      <c r="AS30" s="83" t="s">
        <v>2744</v>
      </c>
      <c r="AT30" s="89" t="str">
        <f>HYPERLINK("https://www.youtube.com/channel/UC287WsW462sPDKVqfubq6PA")</f>
        <v>https://www.youtube.com/channel/UC287WsW462sPDKVqfubq6PA</v>
      </c>
      <c r="AU30" s="83" t="str">
        <f>REPLACE(INDEX(GroupVertices[Group],MATCH(Vertices[[#This Row],[Vertex]],GroupVertices[Vertex],0)),1,1,"")</f>
        <v>13</v>
      </c>
      <c r="AV30" s="45"/>
      <c r="AW30" s="46"/>
      <c r="AX30" s="45"/>
      <c r="AY30" s="46"/>
      <c r="AZ30" s="45"/>
      <c r="BA30" s="46"/>
      <c r="BB30" s="45"/>
      <c r="BC30" s="46"/>
      <c r="BD30" s="45"/>
      <c r="BE30" s="110" t="s">
        <v>1874</v>
      </c>
      <c r="BF30" s="110" t="s">
        <v>1874</v>
      </c>
      <c r="BG30" s="110" t="s">
        <v>1874</v>
      </c>
      <c r="BH30" s="110" t="s">
        <v>1874</v>
      </c>
      <c r="BI30" s="2"/>
    </row>
    <row r="31" spans="1:61" ht="15">
      <c r="A31" s="61" t="s">
        <v>254</v>
      </c>
      <c r="B31" s="62" t="s">
        <v>2893</v>
      </c>
      <c r="C31" s="62"/>
      <c r="D31" s="63">
        <v>100</v>
      </c>
      <c r="E31" s="65">
        <v>50</v>
      </c>
      <c r="F31" s="100" t="str">
        <f>HYPERLINK("https://yt3.ggpht.com/ytc/AGIKgqOQPvJszNzoE6D3JWz5W4OKtP5o9apNzyv3gO8k=s88-c-k-c0x00ffffff-no-rj")</f>
        <v>https://yt3.ggpht.com/ytc/AGIKgqOQPvJszNzoE6D3JWz5W4OKtP5o9apNzyv3gO8k=s88-c-k-c0x00ffffff-no-rj</v>
      </c>
      <c r="G31" s="62"/>
      <c r="H31" s="66" t="s">
        <v>1092</v>
      </c>
      <c r="I31" s="67"/>
      <c r="J31" s="67" t="s">
        <v>159</v>
      </c>
      <c r="K31" s="66" t="s">
        <v>1092</v>
      </c>
      <c r="L31" s="70"/>
      <c r="M31" s="71">
        <v>8401.19921875</v>
      </c>
      <c r="N31" s="71">
        <v>3819.8427734375</v>
      </c>
      <c r="O31" s="72"/>
      <c r="P31" s="73"/>
      <c r="Q31" s="73"/>
      <c r="R31" s="94"/>
      <c r="S31" s="45">
        <v>0</v>
      </c>
      <c r="T31" s="45">
        <v>1</v>
      </c>
      <c r="U31" s="46">
        <v>0</v>
      </c>
      <c r="V31" s="46">
        <v>0.008911</v>
      </c>
      <c r="W31" s="46">
        <v>0</v>
      </c>
      <c r="X31" s="46">
        <v>0.002085</v>
      </c>
      <c r="Y31" s="46">
        <v>0</v>
      </c>
      <c r="Z31" s="46">
        <v>0</v>
      </c>
      <c r="AA31" s="68">
        <v>31</v>
      </c>
      <c r="AB31" s="68"/>
      <c r="AC31" s="69"/>
      <c r="AD31" s="83" t="s">
        <v>1092</v>
      </c>
      <c r="AE31" s="83" t="s">
        <v>1935</v>
      </c>
      <c r="AF31" s="83"/>
      <c r="AG31" s="83"/>
      <c r="AH31" s="83"/>
      <c r="AI31" s="83" t="s">
        <v>2109</v>
      </c>
      <c r="AJ31" s="92">
        <v>43168.826145833336</v>
      </c>
      <c r="AK31" s="89" t="str">
        <f>HYPERLINK("https://yt3.ggpht.com/ytc/AGIKgqOQPvJszNzoE6D3JWz5W4OKtP5o9apNzyv3gO8k=s88-c-k-c0x00ffffff-no-rj")</f>
        <v>https://yt3.ggpht.com/ytc/AGIKgqOQPvJszNzoE6D3JWz5W4OKtP5o9apNzyv3gO8k=s88-c-k-c0x00ffffff-no-rj</v>
      </c>
      <c r="AL31" s="83">
        <v>30093</v>
      </c>
      <c r="AM31" s="83">
        <v>0</v>
      </c>
      <c r="AN31" s="83">
        <v>150</v>
      </c>
      <c r="AO31" s="83" t="b">
        <v>0</v>
      </c>
      <c r="AP31" s="83">
        <v>74</v>
      </c>
      <c r="AQ31" s="83"/>
      <c r="AR31" s="83"/>
      <c r="AS31" s="83" t="s">
        <v>2744</v>
      </c>
      <c r="AT31" s="89" t="str">
        <f>HYPERLINK("https://www.youtube.com/channel/UC9mqn6pJjj7mU_EAtN1vn0Q")</f>
        <v>https://www.youtube.com/channel/UC9mqn6pJjj7mU_EAtN1vn0Q</v>
      </c>
      <c r="AU31" s="83" t="str">
        <f>REPLACE(INDEX(GroupVertices[Group],MATCH(Vertices[[#This Row],[Vertex]],GroupVertices[Vertex],0)),1,1,"")</f>
        <v>13</v>
      </c>
      <c r="AV31" s="45"/>
      <c r="AW31" s="46"/>
      <c r="AX31" s="45"/>
      <c r="AY31" s="46"/>
      <c r="AZ31" s="45"/>
      <c r="BA31" s="46"/>
      <c r="BB31" s="45"/>
      <c r="BC31" s="46"/>
      <c r="BD31" s="45"/>
      <c r="BE31" s="110" t="s">
        <v>1874</v>
      </c>
      <c r="BF31" s="110" t="s">
        <v>1874</v>
      </c>
      <c r="BG31" s="110" t="s">
        <v>1874</v>
      </c>
      <c r="BH31" s="110" t="s">
        <v>1874</v>
      </c>
      <c r="BI31" s="2"/>
    </row>
    <row r="32" spans="1:61" ht="15">
      <c r="A32" s="61" t="s">
        <v>255</v>
      </c>
      <c r="B32" s="62" t="s">
        <v>2893</v>
      </c>
      <c r="C32" s="62"/>
      <c r="D32" s="63">
        <v>100</v>
      </c>
      <c r="E32" s="65">
        <v>50</v>
      </c>
      <c r="F32" s="100" t="str">
        <f>HYPERLINK("https://yt3.ggpht.com/ytc/AGIKgqNq7b6wx4bPgWCJtJ92L35huq2WHcCMQzKryIyv=s88-c-k-c0x00ffffff-no-rj")</f>
        <v>https://yt3.ggpht.com/ytc/AGIKgqNq7b6wx4bPgWCJtJ92L35huq2WHcCMQzKryIyv=s88-c-k-c0x00ffffff-no-rj</v>
      </c>
      <c r="G32" s="62"/>
      <c r="H32" s="66" t="s">
        <v>1093</v>
      </c>
      <c r="I32" s="67"/>
      <c r="J32" s="67" t="s">
        <v>159</v>
      </c>
      <c r="K32" s="66" t="s">
        <v>1093</v>
      </c>
      <c r="L32" s="70"/>
      <c r="M32" s="71">
        <v>9030.568359375</v>
      </c>
      <c r="N32" s="71">
        <v>4287.96044921875</v>
      </c>
      <c r="O32" s="72"/>
      <c r="P32" s="73"/>
      <c r="Q32" s="73"/>
      <c r="R32" s="94"/>
      <c r="S32" s="45">
        <v>0</v>
      </c>
      <c r="T32" s="45">
        <v>1</v>
      </c>
      <c r="U32" s="46">
        <v>0</v>
      </c>
      <c r="V32" s="46">
        <v>0.008911</v>
      </c>
      <c r="W32" s="46">
        <v>0</v>
      </c>
      <c r="X32" s="46">
        <v>0.002085</v>
      </c>
      <c r="Y32" s="46">
        <v>0</v>
      </c>
      <c r="Z32" s="46">
        <v>0</v>
      </c>
      <c r="AA32" s="68">
        <v>32</v>
      </c>
      <c r="AB32" s="68"/>
      <c r="AC32" s="69"/>
      <c r="AD32" s="83" t="s">
        <v>1093</v>
      </c>
      <c r="AE32" s="83"/>
      <c r="AF32" s="83"/>
      <c r="AG32" s="83"/>
      <c r="AH32" s="83"/>
      <c r="AI32" s="83" t="s">
        <v>2110</v>
      </c>
      <c r="AJ32" s="92">
        <v>41680.27792824074</v>
      </c>
      <c r="AK32" s="89" t="str">
        <f>HYPERLINK("https://yt3.ggpht.com/ytc/AGIKgqNq7b6wx4bPgWCJtJ92L35huq2WHcCMQzKryIyv=s88-c-k-c0x00ffffff-no-rj")</f>
        <v>https://yt3.ggpht.com/ytc/AGIKgqNq7b6wx4bPgWCJtJ92L35huq2WHcCMQzKryIyv=s88-c-k-c0x00ffffff-no-rj</v>
      </c>
      <c r="AL32" s="83">
        <v>391</v>
      </c>
      <c r="AM32" s="83">
        <v>0</v>
      </c>
      <c r="AN32" s="83">
        <v>1</v>
      </c>
      <c r="AO32" s="83" t="b">
        <v>0</v>
      </c>
      <c r="AP32" s="83">
        <v>4</v>
      </c>
      <c r="AQ32" s="83"/>
      <c r="AR32" s="83"/>
      <c r="AS32" s="83" t="s">
        <v>2744</v>
      </c>
      <c r="AT32" s="89" t="str">
        <f>HYPERLINK("https://www.youtube.com/channel/UCfGeZ-TZjsuVnnKeSTHYGsQ")</f>
        <v>https://www.youtube.com/channel/UCfGeZ-TZjsuVnnKeSTHYGsQ</v>
      </c>
      <c r="AU32" s="83" t="str">
        <f>REPLACE(INDEX(GroupVertices[Group],MATCH(Vertices[[#This Row],[Vertex]],GroupVertices[Vertex],0)),1,1,"")</f>
        <v>13</v>
      </c>
      <c r="AV32" s="45"/>
      <c r="AW32" s="46"/>
      <c r="AX32" s="45"/>
      <c r="AY32" s="46"/>
      <c r="AZ32" s="45"/>
      <c r="BA32" s="46"/>
      <c r="BB32" s="45"/>
      <c r="BC32" s="46"/>
      <c r="BD32" s="45"/>
      <c r="BE32" s="110" t="s">
        <v>1874</v>
      </c>
      <c r="BF32" s="110" t="s">
        <v>1874</v>
      </c>
      <c r="BG32" s="110" t="s">
        <v>1874</v>
      </c>
      <c r="BH32" s="110" t="s">
        <v>1874</v>
      </c>
      <c r="BI32" s="2"/>
    </row>
    <row r="33" spans="1:61" ht="15">
      <c r="A33" s="61" t="s">
        <v>256</v>
      </c>
      <c r="B33" s="62" t="s">
        <v>2893</v>
      </c>
      <c r="C33" s="62"/>
      <c r="D33" s="63">
        <v>100</v>
      </c>
      <c r="E33" s="65">
        <v>50</v>
      </c>
      <c r="F33" s="100" t="str">
        <f>HYPERLINK("https://yt3.ggpht.com/ytc/AGIKgqOApcUQG9iXuXa9lKzmacZjnQH40InCofYyWw=s88-c-k-c0x00ffffff-no-rj")</f>
        <v>https://yt3.ggpht.com/ytc/AGIKgqOApcUQG9iXuXa9lKzmacZjnQH40InCofYyWw=s88-c-k-c0x00ffffff-no-rj</v>
      </c>
      <c r="G33" s="62"/>
      <c r="H33" s="66" t="s">
        <v>1094</v>
      </c>
      <c r="I33" s="67"/>
      <c r="J33" s="67" t="s">
        <v>159</v>
      </c>
      <c r="K33" s="66" t="s">
        <v>1094</v>
      </c>
      <c r="L33" s="70"/>
      <c r="M33" s="71">
        <v>8401.19921875</v>
      </c>
      <c r="N33" s="71">
        <v>4287.96044921875</v>
      </c>
      <c r="O33" s="72"/>
      <c r="P33" s="73"/>
      <c r="Q33" s="73"/>
      <c r="R33" s="94"/>
      <c r="S33" s="45">
        <v>0</v>
      </c>
      <c r="T33" s="45">
        <v>1</v>
      </c>
      <c r="U33" s="46">
        <v>0</v>
      </c>
      <c r="V33" s="46">
        <v>0.008911</v>
      </c>
      <c r="W33" s="46">
        <v>0</v>
      </c>
      <c r="X33" s="46">
        <v>0.002085</v>
      </c>
      <c r="Y33" s="46">
        <v>0</v>
      </c>
      <c r="Z33" s="46">
        <v>0</v>
      </c>
      <c r="AA33" s="68">
        <v>33</v>
      </c>
      <c r="AB33" s="68"/>
      <c r="AC33" s="69"/>
      <c r="AD33" s="83" t="s">
        <v>1094</v>
      </c>
      <c r="AE33" s="83"/>
      <c r="AF33" s="83"/>
      <c r="AG33" s="83"/>
      <c r="AH33" s="83"/>
      <c r="AI33" s="83" t="s">
        <v>2111</v>
      </c>
      <c r="AJ33" s="92">
        <v>42252.68423611111</v>
      </c>
      <c r="AK33" s="89" t="str">
        <f>HYPERLINK("https://yt3.ggpht.com/ytc/AGIKgqOApcUQG9iXuXa9lKzmacZjnQH40InCofYyWw=s88-c-k-c0x00ffffff-no-rj")</f>
        <v>https://yt3.ggpht.com/ytc/AGIKgqOApcUQG9iXuXa9lKzmacZjnQH40InCofYyWw=s88-c-k-c0x00ffffff-no-rj</v>
      </c>
      <c r="AL33" s="83">
        <v>0</v>
      </c>
      <c r="AM33" s="83">
        <v>0</v>
      </c>
      <c r="AN33" s="83">
        <v>2</v>
      </c>
      <c r="AO33" s="83" t="b">
        <v>0</v>
      </c>
      <c r="AP33" s="83">
        <v>0</v>
      </c>
      <c r="AQ33" s="83"/>
      <c r="AR33" s="83"/>
      <c r="AS33" s="83" t="s">
        <v>2744</v>
      </c>
      <c r="AT33" s="89" t="str">
        <f>HYPERLINK("https://www.youtube.com/channel/UCNYzG0rGEEtAe7Jz4MxlBQg")</f>
        <v>https://www.youtube.com/channel/UCNYzG0rGEEtAe7Jz4MxlBQg</v>
      </c>
      <c r="AU33" s="83" t="str">
        <f>REPLACE(INDEX(GroupVertices[Group],MATCH(Vertices[[#This Row],[Vertex]],GroupVertices[Vertex],0)),1,1,"")</f>
        <v>13</v>
      </c>
      <c r="AV33" s="45"/>
      <c r="AW33" s="46"/>
      <c r="AX33" s="45"/>
      <c r="AY33" s="46"/>
      <c r="AZ33" s="45"/>
      <c r="BA33" s="46"/>
      <c r="BB33" s="45"/>
      <c r="BC33" s="46"/>
      <c r="BD33" s="45"/>
      <c r="BE33" s="110" t="s">
        <v>1874</v>
      </c>
      <c r="BF33" s="110" t="s">
        <v>1874</v>
      </c>
      <c r="BG33" s="110" t="s">
        <v>1874</v>
      </c>
      <c r="BH33" s="110" t="s">
        <v>1874</v>
      </c>
      <c r="BI33" s="2"/>
    </row>
    <row r="34" spans="1:61" ht="15">
      <c r="A34" s="61" t="s">
        <v>257</v>
      </c>
      <c r="B34" s="62" t="s">
        <v>2893</v>
      </c>
      <c r="C34" s="62"/>
      <c r="D34" s="63">
        <v>100</v>
      </c>
      <c r="E34" s="65">
        <v>50</v>
      </c>
      <c r="F34" s="100" t="str">
        <f>HYPERLINK("https://yt3.ggpht.com/ytc/AGIKgqN5QwEtfD6jjguiBAMvvhlpoi-U5leHX9TK8E2phg=s88-c-k-c0x00ffffff-no-rj")</f>
        <v>https://yt3.ggpht.com/ytc/AGIKgqN5QwEtfD6jjguiBAMvvhlpoi-U5leHX9TK8E2phg=s88-c-k-c0x00ffffff-no-rj</v>
      </c>
      <c r="G34" s="62"/>
      <c r="H34" s="66" t="s">
        <v>1095</v>
      </c>
      <c r="I34" s="67"/>
      <c r="J34" s="67" t="s">
        <v>159</v>
      </c>
      <c r="K34" s="66" t="s">
        <v>1095</v>
      </c>
      <c r="L34" s="70"/>
      <c r="M34" s="71">
        <v>5002.82421875</v>
      </c>
      <c r="N34" s="71">
        <v>570.1673583984375</v>
      </c>
      <c r="O34" s="72"/>
      <c r="P34" s="73"/>
      <c r="Q34" s="73"/>
      <c r="R34" s="94"/>
      <c r="S34" s="45">
        <v>0</v>
      </c>
      <c r="T34" s="45">
        <v>1</v>
      </c>
      <c r="U34" s="46">
        <v>0</v>
      </c>
      <c r="V34" s="46">
        <v>0.046698</v>
      </c>
      <c r="W34" s="46">
        <v>0</v>
      </c>
      <c r="X34" s="46">
        <v>0.002058</v>
      </c>
      <c r="Y34" s="46">
        <v>0</v>
      </c>
      <c r="Z34" s="46">
        <v>0</v>
      </c>
      <c r="AA34" s="68">
        <v>34</v>
      </c>
      <c r="AB34" s="68"/>
      <c r="AC34" s="69"/>
      <c r="AD34" s="83" t="s">
        <v>1095</v>
      </c>
      <c r="AE34" s="83"/>
      <c r="AF34" s="83"/>
      <c r="AG34" s="83"/>
      <c r="AH34" s="83"/>
      <c r="AI34" s="83" t="s">
        <v>2112</v>
      </c>
      <c r="AJ34" s="83" t="s">
        <v>2523</v>
      </c>
      <c r="AK34" s="89" t="str">
        <f>HYPERLINK("https://yt3.ggpht.com/ytc/AGIKgqN5QwEtfD6jjguiBAMvvhlpoi-U5leHX9TK8E2phg=s88-c-k-c0x00ffffff-no-rj")</f>
        <v>https://yt3.ggpht.com/ytc/AGIKgqN5QwEtfD6jjguiBAMvvhlpoi-U5leHX9TK8E2phg=s88-c-k-c0x00ffffff-no-rj</v>
      </c>
      <c r="AL34" s="83">
        <v>0</v>
      </c>
      <c r="AM34" s="83">
        <v>0</v>
      </c>
      <c r="AN34" s="83">
        <v>1</v>
      </c>
      <c r="AO34" s="83" t="b">
        <v>0</v>
      </c>
      <c r="AP34" s="83">
        <v>0</v>
      </c>
      <c r="AQ34" s="83"/>
      <c r="AR34" s="83"/>
      <c r="AS34" s="83" t="s">
        <v>2744</v>
      </c>
      <c r="AT34" s="89" t="str">
        <f>HYPERLINK("https://www.youtube.com/channel/UCNAx0n6Cguqcc8E3AleZ8Aw")</f>
        <v>https://www.youtube.com/channel/UCNAx0n6Cguqcc8E3AleZ8Aw</v>
      </c>
      <c r="AU34" s="83" t="str">
        <f>REPLACE(INDEX(GroupVertices[Group],MATCH(Vertices[[#This Row],[Vertex]],GroupVertices[Vertex],0)),1,1,"")</f>
        <v>3</v>
      </c>
      <c r="AV34" s="45"/>
      <c r="AW34" s="46"/>
      <c r="AX34" s="45"/>
      <c r="AY34" s="46"/>
      <c r="AZ34" s="45"/>
      <c r="BA34" s="46"/>
      <c r="BB34" s="45"/>
      <c r="BC34" s="46"/>
      <c r="BD34" s="45"/>
      <c r="BE34" s="110" t="s">
        <v>1874</v>
      </c>
      <c r="BF34" s="110" t="s">
        <v>1874</v>
      </c>
      <c r="BG34" s="110" t="s">
        <v>1874</v>
      </c>
      <c r="BH34" s="110" t="s">
        <v>1874</v>
      </c>
      <c r="BI34" s="2"/>
    </row>
    <row r="35" spans="1:61" ht="15">
      <c r="A35" s="61" t="s">
        <v>642</v>
      </c>
      <c r="B35" s="62" t="s">
        <v>2893</v>
      </c>
      <c r="C35" s="62"/>
      <c r="D35" s="63">
        <v>456.43564356435644</v>
      </c>
      <c r="E35" s="65">
        <v>100</v>
      </c>
      <c r="F35" s="100" t="str">
        <f>HYPERLINK("https://yt3.ggpht.com/yXiLb6mjX0Q_1BK0fxPWY4AVfIEHJ50MtUFdSi7EXXrEShCkGJ6FRbFF6y-UoPejmS4fYgv7LA=s88-c-k-c0x00ffffff-no-rj")</f>
        <v>https://yt3.ggpht.com/yXiLb6mjX0Q_1BK0fxPWY4AVfIEHJ50MtUFdSi7EXXrEShCkGJ6FRbFF6y-UoPejmS4fYgv7LA=s88-c-k-c0x00ffffff-no-rj</v>
      </c>
      <c r="G35" s="62"/>
      <c r="H35" s="66" t="s">
        <v>1889</v>
      </c>
      <c r="I35" s="67"/>
      <c r="J35" s="67" t="s">
        <v>75</v>
      </c>
      <c r="K35" s="66" t="s">
        <v>1889</v>
      </c>
      <c r="L35" s="70"/>
      <c r="M35" s="71">
        <v>2968.453125</v>
      </c>
      <c r="N35" s="71">
        <v>2884.542724609375</v>
      </c>
      <c r="O35" s="72"/>
      <c r="P35" s="73"/>
      <c r="Q35" s="73"/>
      <c r="R35" s="94"/>
      <c r="S35" s="45">
        <v>40</v>
      </c>
      <c r="T35" s="45">
        <v>1</v>
      </c>
      <c r="U35" s="46">
        <v>1482</v>
      </c>
      <c r="V35" s="46">
        <v>0.092199</v>
      </c>
      <c r="W35" s="46">
        <v>0</v>
      </c>
      <c r="X35" s="46">
        <v>0.014094</v>
      </c>
      <c r="Y35" s="46">
        <v>0</v>
      </c>
      <c r="Z35" s="46">
        <v>0</v>
      </c>
      <c r="AA35" s="68">
        <v>35</v>
      </c>
      <c r="AB35" s="68"/>
      <c r="AC35" s="69"/>
      <c r="AD35" s="83" t="s">
        <v>1889</v>
      </c>
      <c r="AE35" s="83" t="s">
        <v>1936</v>
      </c>
      <c r="AF35" s="83"/>
      <c r="AG35" s="83"/>
      <c r="AH35" s="83"/>
      <c r="AI35" s="83" t="s">
        <v>2113</v>
      </c>
      <c r="AJ35" s="92">
        <v>41682.608506944445</v>
      </c>
      <c r="AK35" s="89" t="str">
        <f>HYPERLINK("https://yt3.ggpht.com/yXiLb6mjX0Q_1BK0fxPWY4AVfIEHJ50MtUFdSi7EXXrEShCkGJ6FRbFF6y-UoPejmS4fYgv7LA=s88-c-k-c0x00ffffff-no-rj")</f>
        <v>https://yt3.ggpht.com/yXiLb6mjX0Q_1BK0fxPWY4AVfIEHJ50MtUFdSi7EXXrEShCkGJ6FRbFF6y-UoPejmS4fYgv7LA=s88-c-k-c0x00ffffff-no-rj</v>
      </c>
      <c r="AL35" s="83">
        <v>17149146</v>
      </c>
      <c r="AM35" s="83">
        <v>0</v>
      </c>
      <c r="AN35" s="83">
        <v>34500</v>
      </c>
      <c r="AO35" s="83" t="b">
        <v>0</v>
      </c>
      <c r="AP35" s="83">
        <v>741</v>
      </c>
      <c r="AQ35" s="83"/>
      <c r="AR35" s="83"/>
      <c r="AS35" s="83" t="s">
        <v>2744</v>
      </c>
      <c r="AT35" s="89" t="str">
        <f>HYPERLINK("https://www.youtube.com/channel/UCprQWxc91NtC1Jx1iuEbC-Q")</f>
        <v>https://www.youtube.com/channel/UCprQWxc91NtC1Jx1iuEbC-Q</v>
      </c>
      <c r="AU35" s="83" t="str">
        <f>REPLACE(INDEX(GroupVertices[Group],MATCH(Vertices[[#This Row],[Vertex]],GroupVertices[Vertex],0)),1,1,"")</f>
        <v>3</v>
      </c>
      <c r="AV35" s="45"/>
      <c r="AW35" s="46"/>
      <c r="AX35" s="45"/>
      <c r="AY35" s="46"/>
      <c r="AZ35" s="45"/>
      <c r="BA35" s="46"/>
      <c r="BB35" s="45"/>
      <c r="BC35" s="46"/>
      <c r="BD35" s="45"/>
      <c r="BE35" s="110" t="s">
        <v>1874</v>
      </c>
      <c r="BF35" s="110" t="s">
        <v>1874</v>
      </c>
      <c r="BG35" s="110" t="s">
        <v>1874</v>
      </c>
      <c r="BH35" s="110" t="s">
        <v>1874</v>
      </c>
      <c r="BI35" s="2"/>
    </row>
    <row r="36" spans="1:61" ht="15">
      <c r="A36" s="61" t="s">
        <v>258</v>
      </c>
      <c r="B36" s="62" t="s">
        <v>2893</v>
      </c>
      <c r="C36" s="62"/>
      <c r="D36" s="63">
        <v>100</v>
      </c>
      <c r="E36" s="65">
        <v>50</v>
      </c>
      <c r="F36" s="100" t="str">
        <f>HYPERLINK("https://yt3.ggpht.com/ytc/AGIKgqNaFba-Gzs53OZ3PXdyc_mEBDB7v-VikUY74QezdQ=s88-c-k-c0x00ffffff-no-rj")</f>
        <v>https://yt3.ggpht.com/ytc/AGIKgqNaFba-Gzs53OZ3PXdyc_mEBDB7v-VikUY74QezdQ=s88-c-k-c0x00ffffff-no-rj</v>
      </c>
      <c r="G36" s="62"/>
      <c r="H36" s="66" t="s">
        <v>1096</v>
      </c>
      <c r="I36" s="67"/>
      <c r="J36" s="67" t="s">
        <v>159</v>
      </c>
      <c r="K36" s="66" t="s">
        <v>1096</v>
      </c>
      <c r="L36" s="70"/>
      <c r="M36" s="71">
        <v>4663.76220703125</v>
      </c>
      <c r="N36" s="71">
        <v>570.1673583984375</v>
      </c>
      <c r="O36" s="72"/>
      <c r="P36" s="73"/>
      <c r="Q36" s="73"/>
      <c r="R36" s="94"/>
      <c r="S36" s="45">
        <v>0</v>
      </c>
      <c r="T36" s="45">
        <v>1</v>
      </c>
      <c r="U36" s="46">
        <v>0</v>
      </c>
      <c r="V36" s="46">
        <v>0.046698</v>
      </c>
      <c r="W36" s="46">
        <v>0</v>
      </c>
      <c r="X36" s="46">
        <v>0.002058</v>
      </c>
      <c r="Y36" s="46">
        <v>0</v>
      </c>
      <c r="Z36" s="46">
        <v>0</v>
      </c>
      <c r="AA36" s="68">
        <v>36</v>
      </c>
      <c r="AB36" s="68"/>
      <c r="AC36" s="69"/>
      <c r="AD36" s="83" t="s">
        <v>1096</v>
      </c>
      <c r="AE36" s="83" t="s">
        <v>1937</v>
      </c>
      <c r="AF36" s="83"/>
      <c r="AG36" s="83"/>
      <c r="AH36" s="83"/>
      <c r="AI36" s="83" t="s">
        <v>2114</v>
      </c>
      <c r="AJ36" s="92">
        <v>42583.481354166666</v>
      </c>
      <c r="AK36" s="89" t="str">
        <f>HYPERLINK("https://yt3.ggpht.com/ytc/AGIKgqNaFba-Gzs53OZ3PXdyc_mEBDB7v-VikUY74QezdQ=s88-c-k-c0x00ffffff-no-rj")</f>
        <v>https://yt3.ggpht.com/ytc/AGIKgqNaFba-Gzs53OZ3PXdyc_mEBDB7v-VikUY74QezdQ=s88-c-k-c0x00ffffff-no-rj</v>
      </c>
      <c r="AL36" s="83">
        <v>22686</v>
      </c>
      <c r="AM36" s="83">
        <v>0</v>
      </c>
      <c r="AN36" s="83">
        <v>240</v>
      </c>
      <c r="AO36" s="83" t="b">
        <v>0</v>
      </c>
      <c r="AP36" s="83">
        <v>56</v>
      </c>
      <c r="AQ36" s="83"/>
      <c r="AR36" s="83"/>
      <c r="AS36" s="83" t="s">
        <v>2744</v>
      </c>
      <c r="AT36" s="89" t="str">
        <f>HYPERLINK("https://www.youtube.com/channel/UCz06cOiRrG5whrG--z9sonQ")</f>
        <v>https://www.youtube.com/channel/UCz06cOiRrG5whrG--z9sonQ</v>
      </c>
      <c r="AU36" s="83" t="str">
        <f>REPLACE(INDEX(GroupVertices[Group],MATCH(Vertices[[#This Row],[Vertex]],GroupVertices[Vertex],0)),1,1,"")</f>
        <v>3</v>
      </c>
      <c r="AV36" s="45"/>
      <c r="AW36" s="46"/>
      <c r="AX36" s="45"/>
      <c r="AY36" s="46"/>
      <c r="AZ36" s="45"/>
      <c r="BA36" s="46"/>
      <c r="BB36" s="45"/>
      <c r="BC36" s="46"/>
      <c r="BD36" s="45"/>
      <c r="BE36" s="110" t="s">
        <v>1874</v>
      </c>
      <c r="BF36" s="110" t="s">
        <v>1874</v>
      </c>
      <c r="BG36" s="110" t="s">
        <v>1874</v>
      </c>
      <c r="BH36" s="110" t="s">
        <v>1874</v>
      </c>
      <c r="BI36" s="2"/>
    </row>
    <row r="37" spans="1:61" ht="15">
      <c r="A37" s="61" t="s">
        <v>259</v>
      </c>
      <c r="B37" s="62" t="s">
        <v>2893</v>
      </c>
      <c r="C37" s="62"/>
      <c r="D37" s="63">
        <v>100</v>
      </c>
      <c r="E37" s="65">
        <v>50</v>
      </c>
      <c r="F37" s="100" t="str">
        <f>HYPERLINK("https://yt3.ggpht.com/ytc/AGIKgqNssYAbVvkODFxft0W1-3MfUpUzeBjmNelEpF5xcw=s88-c-k-c0x00ffffff-no-rj")</f>
        <v>https://yt3.ggpht.com/ytc/AGIKgqNssYAbVvkODFxft0W1-3MfUpUzeBjmNelEpF5xcw=s88-c-k-c0x00ffffff-no-rj</v>
      </c>
      <c r="G37" s="62"/>
      <c r="H37" s="66" t="s">
        <v>1097</v>
      </c>
      <c r="I37" s="67"/>
      <c r="J37" s="67" t="s">
        <v>159</v>
      </c>
      <c r="K37" s="66" t="s">
        <v>1097</v>
      </c>
      <c r="L37" s="70"/>
      <c r="M37" s="71">
        <v>4324.70068359375</v>
      </c>
      <c r="N37" s="71">
        <v>570.1673583984375</v>
      </c>
      <c r="O37" s="72"/>
      <c r="P37" s="73"/>
      <c r="Q37" s="73"/>
      <c r="R37" s="94"/>
      <c r="S37" s="45">
        <v>0</v>
      </c>
      <c r="T37" s="45">
        <v>1</v>
      </c>
      <c r="U37" s="46">
        <v>0</v>
      </c>
      <c r="V37" s="46">
        <v>0.046698</v>
      </c>
      <c r="W37" s="46">
        <v>0</v>
      </c>
      <c r="X37" s="46">
        <v>0.002058</v>
      </c>
      <c r="Y37" s="46">
        <v>0</v>
      </c>
      <c r="Z37" s="46">
        <v>0</v>
      </c>
      <c r="AA37" s="68">
        <v>37</v>
      </c>
      <c r="AB37" s="68"/>
      <c r="AC37" s="69"/>
      <c r="AD37" s="83" t="s">
        <v>1097</v>
      </c>
      <c r="AE37" s="83"/>
      <c r="AF37" s="83"/>
      <c r="AG37" s="83"/>
      <c r="AH37" s="83"/>
      <c r="AI37" s="83" t="s">
        <v>2115</v>
      </c>
      <c r="AJ37" s="92">
        <v>39603.580104166664</v>
      </c>
      <c r="AK37" s="89" t="str">
        <f>HYPERLINK("https://yt3.ggpht.com/ytc/AGIKgqNssYAbVvkODFxft0W1-3MfUpUzeBjmNelEpF5xcw=s88-c-k-c0x00ffffff-no-rj")</f>
        <v>https://yt3.ggpht.com/ytc/AGIKgqNssYAbVvkODFxft0W1-3MfUpUzeBjmNelEpF5xcw=s88-c-k-c0x00ffffff-no-rj</v>
      </c>
      <c r="AL37" s="83">
        <v>6347</v>
      </c>
      <c r="AM37" s="83">
        <v>0</v>
      </c>
      <c r="AN37" s="83">
        <v>5</v>
      </c>
      <c r="AO37" s="83" t="b">
        <v>0</v>
      </c>
      <c r="AP37" s="83">
        <v>25</v>
      </c>
      <c r="AQ37" s="83"/>
      <c r="AR37" s="83"/>
      <c r="AS37" s="83" t="s">
        <v>2744</v>
      </c>
      <c r="AT37" s="89" t="str">
        <f>HYPERLINK("https://www.youtube.com/channel/UCEECRK7IVPi6dMaJR_TtZrg")</f>
        <v>https://www.youtube.com/channel/UCEECRK7IVPi6dMaJR_TtZrg</v>
      </c>
      <c r="AU37" s="83" t="str">
        <f>REPLACE(INDEX(GroupVertices[Group],MATCH(Vertices[[#This Row],[Vertex]],GroupVertices[Vertex],0)),1,1,"")</f>
        <v>3</v>
      </c>
      <c r="AV37" s="45"/>
      <c r="AW37" s="46"/>
      <c r="AX37" s="45"/>
      <c r="AY37" s="46"/>
      <c r="AZ37" s="45"/>
      <c r="BA37" s="46"/>
      <c r="BB37" s="45"/>
      <c r="BC37" s="46"/>
      <c r="BD37" s="45"/>
      <c r="BE37" s="110" t="s">
        <v>1874</v>
      </c>
      <c r="BF37" s="110" t="s">
        <v>1874</v>
      </c>
      <c r="BG37" s="110" t="s">
        <v>1874</v>
      </c>
      <c r="BH37" s="110" t="s">
        <v>1874</v>
      </c>
      <c r="BI37" s="2"/>
    </row>
    <row r="38" spans="1:61" ht="15">
      <c r="A38" s="61" t="s">
        <v>260</v>
      </c>
      <c r="B38" s="62" t="s">
        <v>2893</v>
      </c>
      <c r="C38" s="62"/>
      <c r="D38" s="63">
        <v>100</v>
      </c>
      <c r="E38" s="65">
        <v>50</v>
      </c>
      <c r="F38" s="100" t="str">
        <f>HYPERLINK("https://yt3.ggpht.com/ytc/AGIKgqPYORAdw3vNCswXvr19mPW5nZmvouyKk2mlfQ=s88-c-k-c0x00ffffff-no-rj")</f>
        <v>https://yt3.ggpht.com/ytc/AGIKgqPYORAdw3vNCswXvr19mPW5nZmvouyKk2mlfQ=s88-c-k-c0x00ffffff-no-rj</v>
      </c>
      <c r="G38" s="62"/>
      <c r="H38" s="66" t="s">
        <v>1098</v>
      </c>
      <c r="I38" s="67"/>
      <c r="J38" s="67" t="s">
        <v>159</v>
      </c>
      <c r="K38" s="66" t="s">
        <v>1098</v>
      </c>
      <c r="L38" s="70"/>
      <c r="M38" s="71">
        <v>3985.638671875</v>
      </c>
      <c r="N38" s="71">
        <v>570.1673583984375</v>
      </c>
      <c r="O38" s="72"/>
      <c r="P38" s="73"/>
      <c r="Q38" s="73"/>
      <c r="R38" s="94"/>
      <c r="S38" s="45">
        <v>0</v>
      </c>
      <c r="T38" s="45">
        <v>1</v>
      </c>
      <c r="U38" s="46">
        <v>0</v>
      </c>
      <c r="V38" s="46">
        <v>0.046698</v>
      </c>
      <c r="W38" s="46">
        <v>0</v>
      </c>
      <c r="X38" s="46">
        <v>0.002058</v>
      </c>
      <c r="Y38" s="46">
        <v>0</v>
      </c>
      <c r="Z38" s="46">
        <v>0</v>
      </c>
      <c r="AA38" s="68">
        <v>38</v>
      </c>
      <c r="AB38" s="68"/>
      <c r="AC38" s="69"/>
      <c r="AD38" s="83" t="s">
        <v>1098</v>
      </c>
      <c r="AE38" s="83"/>
      <c r="AF38" s="83"/>
      <c r="AG38" s="83"/>
      <c r="AH38" s="83"/>
      <c r="AI38" s="83" t="s">
        <v>2116</v>
      </c>
      <c r="AJ38" s="83" t="s">
        <v>2524</v>
      </c>
      <c r="AK38" s="89" t="str">
        <f>HYPERLINK("https://yt3.ggpht.com/ytc/AGIKgqPYORAdw3vNCswXvr19mPW5nZmvouyKk2mlfQ=s88-c-k-c0x00ffffff-no-rj")</f>
        <v>https://yt3.ggpht.com/ytc/AGIKgqPYORAdw3vNCswXvr19mPW5nZmvouyKk2mlfQ=s88-c-k-c0x00ffffff-no-rj</v>
      </c>
      <c r="AL38" s="83">
        <v>0</v>
      </c>
      <c r="AM38" s="83">
        <v>0</v>
      </c>
      <c r="AN38" s="83">
        <v>1</v>
      </c>
      <c r="AO38" s="83" t="b">
        <v>0</v>
      </c>
      <c r="AP38" s="83">
        <v>0</v>
      </c>
      <c r="AQ38" s="83"/>
      <c r="AR38" s="83"/>
      <c r="AS38" s="83" t="s">
        <v>2744</v>
      </c>
      <c r="AT38" s="89" t="str">
        <f>HYPERLINK("https://www.youtube.com/channel/UCq67-V8cROcR_kfKgydP44g")</f>
        <v>https://www.youtube.com/channel/UCq67-V8cROcR_kfKgydP44g</v>
      </c>
      <c r="AU38" s="83" t="str">
        <f>REPLACE(INDEX(GroupVertices[Group],MATCH(Vertices[[#This Row],[Vertex]],GroupVertices[Vertex],0)),1,1,"")</f>
        <v>3</v>
      </c>
      <c r="AV38" s="45"/>
      <c r="AW38" s="46"/>
      <c r="AX38" s="45"/>
      <c r="AY38" s="46"/>
      <c r="AZ38" s="45"/>
      <c r="BA38" s="46"/>
      <c r="BB38" s="45"/>
      <c r="BC38" s="46"/>
      <c r="BD38" s="45"/>
      <c r="BE38" s="110" t="s">
        <v>1874</v>
      </c>
      <c r="BF38" s="110" t="s">
        <v>1874</v>
      </c>
      <c r="BG38" s="110" t="s">
        <v>1874</v>
      </c>
      <c r="BH38" s="110" t="s">
        <v>1874</v>
      </c>
      <c r="BI38" s="2"/>
    </row>
    <row r="39" spans="1:61" ht="15">
      <c r="A39" s="61" t="s">
        <v>261</v>
      </c>
      <c r="B39" s="62" t="s">
        <v>2893</v>
      </c>
      <c r="C39" s="62"/>
      <c r="D39" s="63">
        <v>100</v>
      </c>
      <c r="E39" s="65">
        <v>50</v>
      </c>
      <c r="F39" s="100" t="str">
        <f>HYPERLINK("https://yt3.ggpht.com/ytc/AGIKgqPSt9YvPQpgalhO9kIdTeIjK_VFBjJCtjTRSw=s88-c-k-c0x00ffffff-no-rj")</f>
        <v>https://yt3.ggpht.com/ytc/AGIKgqPSt9YvPQpgalhO9kIdTeIjK_VFBjJCtjTRSw=s88-c-k-c0x00ffffff-no-rj</v>
      </c>
      <c r="G39" s="62"/>
      <c r="H39" s="66" t="s">
        <v>1099</v>
      </c>
      <c r="I39" s="67"/>
      <c r="J39" s="67" t="s">
        <v>159</v>
      </c>
      <c r="K39" s="66" t="s">
        <v>1099</v>
      </c>
      <c r="L39" s="70"/>
      <c r="M39" s="71">
        <v>3646.576904296875</v>
      </c>
      <c r="N39" s="71">
        <v>570.1673583984375</v>
      </c>
      <c r="O39" s="72"/>
      <c r="P39" s="73"/>
      <c r="Q39" s="73"/>
      <c r="R39" s="94"/>
      <c r="S39" s="45">
        <v>0</v>
      </c>
      <c r="T39" s="45">
        <v>1</v>
      </c>
      <c r="U39" s="46">
        <v>0</v>
      </c>
      <c r="V39" s="46">
        <v>0.046698</v>
      </c>
      <c r="W39" s="46">
        <v>0</v>
      </c>
      <c r="X39" s="46">
        <v>0.002058</v>
      </c>
      <c r="Y39" s="46">
        <v>0</v>
      </c>
      <c r="Z39" s="46">
        <v>0</v>
      </c>
      <c r="AA39" s="68">
        <v>39</v>
      </c>
      <c r="AB39" s="68"/>
      <c r="AC39" s="69"/>
      <c r="AD39" s="83" t="s">
        <v>1099</v>
      </c>
      <c r="AE39" s="83"/>
      <c r="AF39" s="83"/>
      <c r="AG39" s="83"/>
      <c r="AH39" s="83"/>
      <c r="AI39" s="83" t="s">
        <v>2117</v>
      </c>
      <c r="AJ39" s="83" t="s">
        <v>2525</v>
      </c>
      <c r="AK39" s="89" t="str">
        <f>HYPERLINK("https://yt3.ggpht.com/ytc/AGIKgqPSt9YvPQpgalhO9kIdTeIjK_VFBjJCtjTRSw=s88-c-k-c0x00ffffff-no-rj")</f>
        <v>https://yt3.ggpht.com/ytc/AGIKgqPSt9YvPQpgalhO9kIdTeIjK_VFBjJCtjTRSw=s88-c-k-c0x00ffffff-no-rj</v>
      </c>
      <c r="AL39" s="83">
        <v>113</v>
      </c>
      <c r="AM39" s="83">
        <v>0</v>
      </c>
      <c r="AN39" s="83">
        <v>3</v>
      </c>
      <c r="AO39" s="83" t="b">
        <v>0</v>
      </c>
      <c r="AP39" s="83">
        <v>1</v>
      </c>
      <c r="AQ39" s="83"/>
      <c r="AR39" s="83"/>
      <c r="AS39" s="83" t="s">
        <v>2744</v>
      </c>
      <c r="AT39" s="89" t="str">
        <f>HYPERLINK("https://www.youtube.com/channel/UCUme9NF3IJ3-Z0Cv5hdxu1w")</f>
        <v>https://www.youtube.com/channel/UCUme9NF3IJ3-Z0Cv5hdxu1w</v>
      </c>
      <c r="AU39" s="83" t="str">
        <f>REPLACE(INDEX(GroupVertices[Group],MATCH(Vertices[[#This Row],[Vertex]],GroupVertices[Vertex],0)),1,1,"")</f>
        <v>3</v>
      </c>
      <c r="AV39" s="45"/>
      <c r="AW39" s="46"/>
      <c r="AX39" s="45"/>
      <c r="AY39" s="46"/>
      <c r="AZ39" s="45"/>
      <c r="BA39" s="46"/>
      <c r="BB39" s="45"/>
      <c r="BC39" s="46"/>
      <c r="BD39" s="45"/>
      <c r="BE39" s="110" t="s">
        <v>1874</v>
      </c>
      <c r="BF39" s="110" t="s">
        <v>1874</v>
      </c>
      <c r="BG39" s="110" t="s">
        <v>1874</v>
      </c>
      <c r="BH39" s="110" t="s">
        <v>1874</v>
      </c>
      <c r="BI39" s="2"/>
    </row>
    <row r="40" spans="1:61" ht="15">
      <c r="A40" s="61" t="s">
        <v>262</v>
      </c>
      <c r="B40" s="62" t="s">
        <v>2893</v>
      </c>
      <c r="C40" s="62"/>
      <c r="D40" s="63">
        <v>100</v>
      </c>
      <c r="E40" s="65">
        <v>50</v>
      </c>
      <c r="F40" s="100" t="str">
        <f>HYPERLINK("https://yt3.ggpht.com/ytc/AGIKgqNN3GnpU7gaoGTMpUliuQrUK1TrOpvHf8E42uTo=s88-c-k-c0x00ffffff-no-rj")</f>
        <v>https://yt3.ggpht.com/ytc/AGIKgqNN3GnpU7gaoGTMpUliuQrUK1TrOpvHf8E42uTo=s88-c-k-c0x00ffffff-no-rj</v>
      </c>
      <c r="G40" s="62"/>
      <c r="H40" s="66" t="s">
        <v>1100</v>
      </c>
      <c r="I40" s="67"/>
      <c r="J40" s="67" t="s">
        <v>159</v>
      </c>
      <c r="K40" s="66" t="s">
        <v>1100</v>
      </c>
      <c r="L40" s="70"/>
      <c r="M40" s="71">
        <v>3307.514892578125</v>
      </c>
      <c r="N40" s="71">
        <v>570.1673583984375</v>
      </c>
      <c r="O40" s="72"/>
      <c r="P40" s="73"/>
      <c r="Q40" s="73"/>
      <c r="R40" s="94"/>
      <c r="S40" s="45">
        <v>0</v>
      </c>
      <c r="T40" s="45">
        <v>1</v>
      </c>
      <c r="U40" s="46">
        <v>0</v>
      </c>
      <c r="V40" s="46">
        <v>0.046698</v>
      </c>
      <c r="W40" s="46">
        <v>0</v>
      </c>
      <c r="X40" s="46">
        <v>0.002058</v>
      </c>
      <c r="Y40" s="46">
        <v>0</v>
      </c>
      <c r="Z40" s="46">
        <v>0</v>
      </c>
      <c r="AA40" s="68">
        <v>40</v>
      </c>
      <c r="AB40" s="68"/>
      <c r="AC40" s="69"/>
      <c r="AD40" s="83" t="s">
        <v>1100</v>
      </c>
      <c r="AE40" s="83" t="s">
        <v>1938</v>
      </c>
      <c r="AF40" s="83"/>
      <c r="AG40" s="83"/>
      <c r="AH40" s="83"/>
      <c r="AI40" s="83" t="s">
        <v>2118</v>
      </c>
      <c r="AJ40" s="83" t="s">
        <v>2526</v>
      </c>
      <c r="AK40" s="89" t="str">
        <f>HYPERLINK("https://yt3.ggpht.com/ytc/AGIKgqNN3GnpU7gaoGTMpUliuQrUK1TrOpvHf8E42uTo=s88-c-k-c0x00ffffff-no-rj")</f>
        <v>https://yt3.ggpht.com/ytc/AGIKgqNN3GnpU7gaoGTMpUliuQrUK1TrOpvHf8E42uTo=s88-c-k-c0x00ffffff-no-rj</v>
      </c>
      <c r="AL40" s="83">
        <v>7781</v>
      </c>
      <c r="AM40" s="83">
        <v>0</v>
      </c>
      <c r="AN40" s="83">
        <v>52</v>
      </c>
      <c r="AO40" s="83" t="b">
        <v>0</v>
      </c>
      <c r="AP40" s="83">
        <v>48</v>
      </c>
      <c r="AQ40" s="83"/>
      <c r="AR40" s="83"/>
      <c r="AS40" s="83" t="s">
        <v>2744</v>
      </c>
      <c r="AT40" s="89" t="str">
        <f>HYPERLINK("https://www.youtube.com/channel/UCPPkB29U_lNgZe818Dp-xfw")</f>
        <v>https://www.youtube.com/channel/UCPPkB29U_lNgZe818Dp-xfw</v>
      </c>
      <c r="AU40" s="83" t="str">
        <f>REPLACE(INDEX(GroupVertices[Group],MATCH(Vertices[[#This Row],[Vertex]],GroupVertices[Vertex],0)),1,1,"")</f>
        <v>3</v>
      </c>
      <c r="AV40" s="45"/>
      <c r="AW40" s="46"/>
      <c r="AX40" s="45"/>
      <c r="AY40" s="46"/>
      <c r="AZ40" s="45"/>
      <c r="BA40" s="46"/>
      <c r="BB40" s="45"/>
      <c r="BC40" s="46"/>
      <c r="BD40" s="45"/>
      <c r="BE40" s="110" t="s">
        <v>1874</v>
      </c>
      <c r="BF40" s="110" t="s">
        <v>1874</v>
      </c>
      <c r="BG40" s="110" t="s">
        <v>1874</v>
      </c>
      <c r="BH40" s="110" t="s">
        <v>1874</v>
      </c>
      <c r="BI40" s="2"/>
    </row>
    <row r="41" spans="1:61" ht="15">
      <c r="A41" s="61" t="s">
        <v>263</v>
      </c>
      <c r="B41" s="62" t="s">
        <v>2893</v>
      </c>
      <c r="C41" s="62"/>
      <c r="D41" s="63">
        <v>100</v>
      </c>
      <c r="E41" s="65">
        <v>50</v>
      </c>
      <c r="F41" s="100" t="str">
        <f>HYPERLINK("https://yt3.ggpht.com/GvcGhvn-HkJOOsbNR0JlvcD0i5EwKn1Jy_vMV046FUqGKHttLbKdgLh_nlR_lU1Lawyohn5B6Q=s88-c-k-c0x00ffffff-no-rj")</f>
        <v>https://yt3.ggpht.com/GvcGhvn-HkJOOsbNR0JlvcD0i5EwKn1Jy_vMV046FUqGKHttLbKdgLh_nlR_lU1Lawyohn5B6Q=s88-c-k-c0x00ffffff-no-rj</v>
      </c>
      <c r="G41" s="62"/>
      <c r="H41" s="66" t="s">
        <v>1101</v>
      </c>
      <c r="I41" s="67"/>
      <c r="J41" s="67" t="s">
        <v>159</v>
      </c>
      <c r="K41" s="66" t="s">
        <v>1101</v>
      </c>
      <c r="L41" s="70"/>
      <c r="M41" s="71">
        <v>2968.453125</v>
      </c>
      <c r="N41" s="71">
        <v>570.1673583984375</v>
      </c>
      <c r="O41" s="72"/>
      <c r="P41" s="73"/>
      <c r="Q41" s="73"/>
      <c r="R41" s="94"/>
      <c r="S41" s="45">
        <v>0</v>
      </c>
      <c r="T41" s="45">
        <v>1</v>
      </c>
      <c r="U41" s="46">
        <v>0</v>
      </c>
      <c r="V41" s="46">
        <v>0.046698</v>
      </c>
      <c r="W41" s="46">
        <v>0</v>
      </c>
      <c r="X41" s="46">
        <v>0.002058</v>
      </c>
      <c r="Y41" s="46">
        <v>0</v>
      </c>
      <c r="Z41" s="46">
        <v>0</v>
      </c>
      <c r="AA41" s="68">
        <v>41</v>
      </c>
      <c r="AB41" s="68"/>
      <c r="AC41" s="69"/>
      <c r="AD41" s="83" t="s">
        <v>1101</v>
      </c>
      <c r="AE41" s="83" t="s">
        <v>1939</v>
      </c>
      <c r="AF41" s="83"/>
      <c r="AG41" s="83"/>
      <c r="AH41" s="83"/>
      <c r="AI41" s="83" t="s">
        <v>2119</v>
      </c>
      <c r="AJ41" s="92">
        <v>40702.657546296294</v>
      </c>
      <c r="AK41" s="89" t="str">
        <f>HYPERLINK("https://yt3.ggpht.com/GvcGhvn-HkJOOsbNR0JlvcD0i5EwKn1Jy_vMV046FUqGKHttLbKdgLh_nlR_lU1Lawyohn5B6Q=s88-c-k-c0x00ffffff-no-rj")</f>
        <v>https://yt3.ggpht.com/GvcGhvn-HkJOOsbNR0JlvcD0i5EwKn1Jy_vMV046FUqGKHttLbKdgLh_nlR_lU1Lawyohn5B6Q=s88-c-k-c0x00ffffff-no-rj</v>
      </c>
      <c r="AL41" s="83">
        <v>106</v>
      </c>
      <c r="AM41" s="83">
        <v>0</v>
      </c>
      <c r="AN41" s="83">
        <v>25</v>
      </c>
      <c r="AO41" s="83" t="b">
        <v>0</v>
      </c>
      <c r="AP41" s="83">
        <v>3</v>
      </c>
      <c r="AQ41" s="83"/>
      <c r="AR41" s="83"/>
      <c r="AS41" s="83" t="s">
        <v>2744</v>
      </c>
      <c r="AT41" s="89" t="str">
        <f>HYPERLINK("https://www.youtube.com/channel/UC6TZ9xUe2FSnXGUC1bgfPdQ")</f>
        <v>https://www.youtube.com/channel/UC6TZ9xUe2FSnXGUC1bgfPdQ</v>
      </c>
      <c r="AU41" s="83" t="str">
        <f>REPLACE(INDEX(GroupVertices[Group],MATCH(Vertices[[#This Row],[Vertex]],GroupVertices[Vertex],0)),1,1,"")</f>
        <v>3</v>
      </c>
      <c r="AV41" s="45"/>
      <c r="AW41" s="46"/>
      <c r="AX41" s="45"/>
      <c r="AY41" s="46"/>
      <c r="AZ41" s="45"/>
      <c r="BA41" s="46"/>
      <c r="BB41" s="45"/>
      <c r="BC41" s="46"/>
      <c r="BD41" s="45"/>
      <c r="BE41" s="110" t="s">
        <v>1874</v>
      </c>
      <c r="BF41" s="110" t="s">
        <v>1874</v>
      </c>
      <c r="BG41" s="110" t="s">
        <v>1874</v>
      </c>
      <c r="BH41" s="110" t="s">
        <v>1874</v>
      </c>
      <c r="BI41" s="2"/>
    </row>
    <row r="42" spans="1:61" ht="15">
      <c r="A42" s="61" t="s">
        <v>264</v>
      </c>
      <c r="B42" s="62" t="s">
        <v>2893</v>
      </c>
      <c r="C42" s="62"/>
      <c r="D42" s="63">
        <v>100</v>
      </c>
      <c r="E42" s="65">
        <v>50</v>
      </c>
      <c r="F42" s="100" t="str">
        <f>HYPERLINK("https://yt3.ggpht.com/ytc/AGIKgqOmG6sFN_d-GmyyiOs-po26v_jr80cB9lWL2g=s88-c-k-c0x00ffffff-no-rj")</f>
        <v>https://yt3.ggpht.com/ytc/AGIKgqOmG6sFN_d-GmyyiOs-po26v_jr80cB9lWL2g=s88-c-k-c0x00ffffff-no-rj</v>
      </c>
      <c r="G42" s="62"/>
      <c r="H42" s="66" t="s">
        <v>1102</v>
      </c>
      <c r="I42" s="67"/>
      <c r="J42" s="67" t="s">
        <v>159</v>
      </c>
      <c r="K42" s="66" t="s">
        <v>1102</v>
      </c>
      <c r="L42" s="70"/>
      <c r="M42" s="71">
        <v>2629.391357421875</v>
      </c>
      <c r="N42" s="71">
        <v>570.1673583984375</v>
      </c>
      <c r="O42" s="72"/>
      <c r="P42" s="73"/>
      <c r="Q42" s="73"/>
      <c r="R42" s="94"/>
      <c r="S42" s="45">
        <v>0</v>
      </c>
      <c r="T42" s="45">
        <v>1</v>
      </c>
      <c r="U42" s="46">
        <v>0</v>
      </c>
      <c r="V42" s="46">
        <v>0.046698</v>
      </c>
      <c r="W42" s="46">
        <v>0</v>
      </c>
      <c r="X42" s="46">
        <v>0.002058</v>
      </c>
      <c r="Y42" s="46">
        <v>0</v>
      </c>
      <c r="Z42" s="46">
        <v>0</v>
      </c>
      <c r="AA42" s="68">
        <v>42</v>
      </c>
      <c r="AB42" s="68"/>
      <c r="AC42" s="69"/>
      <c r="AD42" s="83" t="s">
        <v>1102</v>
      </c>
      <c r="AE42" s="83"/>
      <c r="AF42" s="83"/>
      <c r="AG42" s="83"/>
      <c r="AH42" s="83"/>
      <c r="AI42" s="83" t="s">
        <v>2120</v>
      </c>
      <c r="AJ42" s="83" t="s">
        <v>2527</v>
      </c>
      <c r="AK42" s="89" t="str">
        <f>HYPERLINK("https://yt3.ggpht.com/ytc/AGIKgqOmG6sFN_d-GmyyiOs-po26v_jr80cB9lWL2g=s88-c-k-c0x00ffffff-no-rj")</f>
        <v>https://yt3.ggpht.com/ytc/AGIKgqOmG6sFN_d-GmyyiOs-po26v_jr80cB9lWL2g=s88-c-k-c0x00ffffff-no-rj</v>
      </c>
      <c r="AL42" s="83">
        <v>11</v>
      </c>
      <c r="AM42" s="83">
        <v>0</v>
      </c>
      <c r="AN42" s="83">
        <v>3</v>
      </c>
      <c r="AO42" s="83" t="b">
        <v>0</v>
      </c>
      <c r="AP42" s="83">
        <v>5</v>
      </c>
      <c r="AQ42" s="83"/>
      <c r="AR42" s="83"/>
      <c r="AS42" s="83" t="s">
        <v>2744</v>
      </c>
      <c r="AT42" s="89" t="str">
        <f>HYPERLINK("https://www.youtube.com/channel/UCGHpBeASXblHkCziYGirKAA")</f>
        <v>https://www.youtube.com/channel/UCGHpBeASXblHkCziYGirKAA</v>
      </c>
      <c r="AU42" s="83" t="str">
        <f>REPLACE(INDEX(GroupVertices[Group],MATCH(Vertices[[#This Row],[Vertex]],GroupVertices[Vertex],0)),1,1,"")</f>
        <v>3</v>
      </c>
      <c r="AV42" s="45"/>
      <c r="AW42" s="46"/>
      <c r="AX42" s="45"/>
      <c r="AY42" s="46"/>
      <c r="AZ42" s="45"/>
      <c r="BA42" s="46"/>
      <c r="BB42" s="45"/>
      <c r="BC42" s="46"/>
      <c r="BD42" s="45"/>
      <c r="BE42" s="110" t="s">
        <v>1874</v>
      </c>
      <c r="BF42" s="110" t="s">
        <v>1874</v>
      </c>
      <c r="BG42" s="110" t="s">
        <v>1874</v>
      </c>
      <c r="BH42" s="110" t="s">
        <v>1874</v>
      </c>
      <c r="BI42" s="2"/>
    </row>
    <row r="43" spans="1:61" ht="15">
      <c r="A43" s="61" t="s">
        <v>265</v>
      </c>
      <c r="B43" s="62" t="s">
        <v>2893</v>
      </c>
      <c r="C43" s="62"/>
      <c r="D43" s="63">
        <v>100</v>
      </c>
      <c r="E43" s="65">
        <v>50</v>
      </c>
      <c r="F43" s="100" t="str">
        <f>HYPERLINK("https://yt3.ggpht.com/idf1gOfUkedk9snoj0UcDzoO5CDG44dik9cUjDpRvSuvQIOR-2p65DgxUJTkQiQPCJNMTYSo=s88-c-k-c0x00ffffff-no-rj")</f>
        <v>https://yt3.ggpht.com/idf1gOfUkedk9snoj0UcDzoO5CDG44dik9cUjDpRvSuvQIOR-2p65DgxUJTkQiQPCJNMTYSo=s88-c-k-c0x00ffffff-no-rj</v>
      </c>
      <c r="G43" s="62"/>
      <c r="H43" s="66" t="s">
        <v>1103</v>
      </c>
      <c r="I43" s="67"/>
      <c r="J43" s="67" t="s">
        <v>159</v>
      </c>
      <c r="K43" s="66" t="s">
        <v>1103</v>
      </c>
      <c r="L43" s="70"/>
      <c r="M43" s="71">
        <v>5002.82421875</v>
      </c>
      <c r="N43" s="71">
        <v>1148.7613525390625</v>
      </c>
      <c r="O43" s="72"/>
      <c r="P43" s="73"/>
      <c r="Q43" s="73"/>
      <c r="R43" s="94"/>
      <c r="S43" s="45">
        <v>0</v>
      </c>
      <c r="T43" s="45">
        <v>1</v>
      </c>
      <c r="U43" s="46">
        <v>0</v>
      </c>
      <c r="V43" s="46">
        <v>0.046698</v>
      </c>
      <c r="W43" s="46">
        <v>0</v>
      </c>
      <c r="X43" s="46">
        <v>0.002058</v>
      </c>
      <c r="Y43" s="46">
        <v>0</v>
      </c>
      <c r="Z43" s="46">
        <v>0</v>
      </c>
      <c r="AA43" s="68">
        <v>43</v>
      </c>
      <c r="AB43" s="68"/>
      <c r="AC43" s="69"/>
      <c r="AD43" s="83" t="s">
        <v>1103</v>
      </c>
      <c r="AE43" s="83" t="s">
        <v>1940</v>
      </c>
      <c r="AF43" s="83"/>
      <c r="AG43" s="83"/>
      <c r="AH43" s="83"/>
      <c r="AI43" s="83" t="s">
        <v>2121</v>
      </c>
      <c r="AJ43" s="83" t="s">
        <v>2528</v>
      </c>
      <c r="AK43" s="89" t="str">
        <f>HYPERLINK("https://yt3.ggpht.com/idf1gOfUkedk9snoj0UcDzoO5CDG44dik9cUjDpRvSuvQIOR-2p65DgxUJTkQiQPCJNMTYSo=s88-c-k-c0x00ffffff-no-rj")</f>
        <v>https://yt3.ggpht.com/idf1gOfUkedk9snoj0UcDzoO5CDG44dik9cUjDpRvSuvQIOR-2p65DgxUJTkQiQPCJNMTYSo=s88-c-k-c0x00ffffff-no-rj</v>
      </c>
      <c r="AL43" s="83">
        <v>0</v>
      </c>
      <c r="AM43" s="83">
        <v>0</v>
      </c>
      <c r="AN43" s="83">
        <v>81</v>
      </c>
      <c r="AO43" s="83" t="b">
        <v>0</v>
      </c>
      <c r="AP43" s="83">
        <v>0</v>
      </c>
      <c r="AQ43" s="83"/>
      <c r="AR43" s="83"/>
      <c r="AS43" s="83" t="s">
        <v>2744</v>
      </c>
      <c r="AT43" s="89" t="str">
        <f>HYPERLINK("https://www.youtube.com/channel/UCCFs1cpuTaFDUQcRXN7cDbA")</f>
        <v>https://www.youtube.com/channel/UCCFs1cpuTaFDUQcRXN7cDbA</v>
      </c>
      <c r="AU43" s="83" t="str">
        <f>REPLACE(INDEX(GroupVertices[Group],MATCH(Vertices[[#This Row],[Vertex]],GroupVertices[Vertex],0)),1,1,"")</f>
        <v>3</v>
      </c>
      <c r="AV43" s="45"/>
      <c r="AW43" s="46"/>
      <c r="AX43" s="45"/>
      <c r="AY43" s="46"/>
      <c r="AZ43" s="45"/>
      <c r="BA43" s="46"/>
      <c r="BB43" s="45"/>
      <c r="BC43" s="46"/>
      <c r="BD43" s="45"/>
      <c r="BE43" s="110" t="s">
        <v>1874</v>
      </c>
      <c r="BF43" s="110" t="s">
        <v>1874</v>
      </c>
      <c r="BG43" s="110" t="s">
        <v>1874</v>
      </c>
      <c r="BH43" s="110" t="s">
        <v>1874</v>
      </c>
      <c r="BI43" s="2"/>
    </row>
    <row r="44" spans="1:61" ht="15">
      <c r="A44" s="61" t="s">
        <v>266</v>
      </c>
      <c r="B44" s="62" t="s">
        <v>2893</v>
      </c>
      <c r="C44" s="62"/>
      <c r="D44" s="63">
        <v>100</v>
      </c>
      <c r="E44" s="65">
        <v>50</v>
      </c>
      <c r="F44" s="100" t="str">
        <f>HYPERLINK("https://yt3.ggpht.com/ytc/AGIKgqN9HNL68SNFQYucawXbI-QM8NmA1feUJMVoBnzf=s88-c-k-c0x00ffffff-no-rj")</f>
        <v>https://yt3.ggpht.com/ytc/AGIKgqN9HNL68SNFQYucawXbI-QM8NmA1feUJMVoBnzf=s88-c-k-c0x00ffffff-no-rj</v>
      </c>
      <c r="G44" s="62"/>
      <c r="H44" s="66" t="s">
        <v>1104</v>
      </c>
      <c r="I44" s="67"/>
      <c r="J44" s="67" t="s">
        <v>159</v>
      </c>
      <c r="K44" s="66" t="s">
        <v>1104</v>
      </c>
      <c r="L44" s="70"/>
      <c r="M44" s="71">
        <v>4663.76220703125</v>
      </c>
      <c r="N44" s="71">
        <v>1148.7613525390625</v>
      </c>
      <c r="O44" s="72"/>
      <c r="P44" s="73"/>
      <c r="Q44" s="73"/>
      <c r="R44" s="94"/>
      <c r="S44" s="45">
        <v>0</v>
      </c>
      <c r="T44" s="45">
        <v>1</v>
      </c>
      <c r="U44" s="46">
        <v>0</v>
      </c>
      <c r="V44" s="46">
        <v>0.046698</v>
      </c>
      <c r="W44" s="46">
        <v>0</v>
      </c>
      <c r="X44" s="46">
        <v>0.002058</v>
      </c>
      <c r="Y44" s="46">
        <v>0</v>
      </c>
      <c r="Z44" s="46">
        <v>0</v>
      </c>
      <c r="AA44" s="68">
        <v>44</v>
      </c>
      <c r="AB44" s="68"/>
      <c r="AC44" s="69"/>
      <c r="AD44" s="83" t="s">
        <v>1104</v>
      </c>
      <c r="AE44" s="83"/>
      <c r="AF44" s="83"/>
      <c r="AG44" s="83"/>
      <c r="AH44" s="83"/>
      <c r="AI44" s="83" t="s">
        <v>2122</v>
      </c>
      <c r="AJ44" s="83" t="s">
        <v>2529</v>
      </c>
      <c r="AK44" s="89" t="str">
        <f>HYPERLINK("https://yt3.ggpht.com/ytc/AGIKgqN9HNL68SNFQYucawXbI-QM8NmA1feUJMVoBnzf=s88-c-k-c0x00ffffff-no-rj")</f>
        <v>https://yt3.ggpht.com/ytc/AGIKgqN9HNL68SNFQYucawXbI-QM8NmA1feUJMVoBnzf=s88-c-k-c0x00ffffff-no-rj</v>
      </c>
      <c r="AL44" s="83">
        <v>202</v>
      </c>
      <c r="AM44" s="83">
        <v>0</v>
      </c>
      <c r="AN44" s="83">
        <v>2</v>
      </c>
      <c r="AO44" s="83" t="b">
        <v>0</v>
      </c>
      <c r="AP44" s="83">
        <v>1</v>
      </c>
      <c r="AQ44" s="83"/>
      <c r="AR44" s="83"/>
      <c r="AS44" s="83" t="s">
        <v>2744</v>
      </c>
      <c r="AT44" s="89" t="str">
        <f>HYPERLINK("https://www.youtube.com/channel/UCgUOUdLqn3b6qkaAeDZkj4g")</f>
        <v>https://www.youtube.com/channel/UCgUOUdLqn3b6qkaAeDZkj4g</v>
      </c>
      <c r="AU44" s="83" t="str">
        <f>REPLACE(INDEX(GroupVertices[Group],MATCH(Vertices[[#This Row],[Vertex]],GroupVertices[Vertex],0)),1,1,"")</f>
        <v>3</v>
      </c>
      <c r="AV44" s="45"/>
      <c r="AW44" s="46"/>
      <c r="AX44" s="45"/>
      <c r="AY44" s="46"/>
      <c r="AZ44" s="45"/>
      <c r="BA44" s="46"/>
      <c r="BB44" s="45"/>
      <c r="BC44" s="46"/>
      <c r="BD44" s="45"/>
      <c r="BE44" s="110" t="s">
        <v>1874</v>
      </c>
      <c r="BF44" s="110" t="s">
        <v>1874</v>
      </c>
      <c r="BG44" s="110" t="s">
        <v>1874</v>
      </c>
      <c r="BH44" s="110" t="s">
        <v>1874</v>
      </c>
      <c r="BI44" s="2"/>
    </row>
    <row r="45" spans="1:61" ht="15">
      <c r="A45" s="61" t="s">
        <v>267</v>
      </c>
      <c r="B45" s="62" t="s">
        <v>2893</v>
      </c>
      <c r="C45" s="62"/>
      <c r="D45" s="63">
        <v>100</v>
      </c>
      <c r="E45" s="65">
        <v>50</v>
      </c>
      <c r="F45" s="100" t="str">
        <f>HYPERLINK("https://yt3.ggpht.com/ytc/AGIKgqPG8YFqqjmoe9Af8iYuFLYP3RBVU6En2eTryQ=s88-c-k-c0x00ffffff-no-rj")</f>
        <v>https://yt3.ggpht.com/ytc/AGIKgqPG8YFqqjmoe9Af8iYuFLYP3RBVU6En2eTryQ=s88-c-k-c0x00ffffff-no-rj</v>
      </c>
      <c r="G45" s="62"/>
      <c r="H45" s="66" t="s">
        <v>1105</v>
      </c>
      <c r="I45" s="67"/>
      <c r="J45" s="67" t="s">
        <v>159</v>
      </c>
      <c r="K45" s="66" t="s">
        <v>1105</v>
      </c>
      <c r="L45" s="70"/>
      <c r="M45" s="71">
        <v>6243.8349609375</v>
      </c>
      <c r="N45" s="71">
        <v>5898.28662109375</v>
      </c>
      <c r="O45" s="72"/>
      <c r="P45" s="73"/>
      <c r="Q45" s="73"/>
      <c r="R45" s="94"/>
      <c r="S45" s="45">
        <v>0</v>
      </c>
      <c r="T45" s="45">
        <v>1</v>
      </c>
      <c r="U45" s="46">
        <v>0</v>
      </c>
      <c r="V45" s="46">
        <v>0.030154</v>
      </c>
      <c r="W45" s="46">
        <v>0</v>
      </c>
      <c r="X45" s="46">
        <v>0.002061</v>
      </c>
      <c r="Y45" s="46">
        <v>0</v>
      </c>
      <c r="Z45" s="46">
        <v>0</v>
      </c>
      <c r="AA45" s="68">
        <v>45</v>
      </c>
      <c r="AB45" s="68"/>
      <c r="AC45" s="69"/>
      <c r="AD45" s="83" t="s">
        <v>1105</v>
      </c>
      <c r="AE45" s="83"/>
      <c r="AF45" s="83"/>
      <c r="AG45" s="83"/>
      <c r="AH45" s="83"/>
      <c r="AI45" s="83" t="s">
        <v>2123</v>
      </c>
      <c r="AJ45" s="83" t="s">
        <v>2530</v>
      </c>
      <c r="AK45" s="89" t="str">
        <f>HYPERLINK("https://yt3.ggpht.com/ytc/AGIKgqPG8YFqqjmoe9Af8iYuFLYP3RBVU6En2eTryQ=s88-c-k-c0x00ffffff-no-rj")</f>
        <v>https://yt3.ggpht.com/ytc/AGIKgqPG8YFqqjmoe9Af8iYuFLYP3RBVU6En2eTryQ=s88-c-k-c0x00ffffff-no-rj</v>
      </c>
      <c r="AL45" s="83">
        <v>0</v>
      </c>
      <c r="AM45" s="83">
        <v>0</v>
      </c>
      <c r="AN45" s="83">
        <v>10</v>
      </c>
      <c r="AO45" s="83" t="b">
        <v>0</v>
      </c>
      <c r="AP45" s="83">
        <v>0</v>
      </c>
      <c r="AQ45" s="83"/>
      <c r="AR45" s="83"/>
      <c r="AS45" s="83" t="s">
        <v>2744</v>
      </c>
      <c r="AT45" s="89" t="str">
        <f>HYPERLINK("https://www.youtube.com/channel/UC6ZVGBscqtypajabmP_MJjA")</f>
        <v>https://www.youtube.com/channel/UC6ZVGBscqtypajabmP_MJjA</v>
      </c>
      <c r="AU45" s="83" t="str">
        <f>REPLACE(INDEX(GroupVertices[Group],MATCH(Vertices[[#This Row],[Vertex]],GroupVertices[Vertex],0)),1,1,"")</f>
        <v>5</v>
      </c>
      <c r="AV45" s="45"/>
      <c r="AW45" s="46"/>
      <c r="AX45" s="45"/>
      <c r="AY45" s="46"/>
      <c r="AZ45" s="45"/>
      <c r="BA45" s="46"/>
      <c r="BB45" s="45"/>
      <c r="BC45" s="46"/>
      <c r="BD45" s="45"/>
      <c r="BE45" s="110" t="s">
        <v>1874</v>
      </c>
      <c r="BF45" s="110" t="s">
        <v>1874</v>
      </c>
      <c r="BG45" s="110" t="s">
        <v>1874</v>
      </c>
      <c r="BH45" s="110" t="s">
        <v>1874</v>
      </c>
      <c r="BI45" s="2"/>
    </row>
    <row r="46" spans="1:61" ht="15">
      <c r="A46" s="61" t="s">
        <v>268</v>
      </c>
      <c r="B46" s="62" t="s">
        <v>2893</v>
      </c>
      <c r="C46" s="62"/>
      <c r="D46" s="63">
        <v>100</v>
      </c>
      <c r="E46" s="65">
        <v>50</v>
      </c>
      <c r="F46" s="100" t="str">
        <f>HYPERLINK("https://yt3.ggpht.com/ytc/AGIKgqNGvP1__u4Gh3uHiuvcwaSR6aVpTo-bY9Ko=s88-c-k-c0x00ffffff-no-rj")</f>
        <v>https://yt3.ggpht.com/ytc/AGIKgqNGvP1__u4Gh3uHiuvcwaSR6aVpTo-bY9Ko=s88-c-k-c0x00ffffff-no-rj</v>
      </c>
      <c r="G46" s="62"/>
      <c r="H46" s="66" t="s">
        <v>1106</v>
      </c>
      <c r="I46" s="67"/>
      <c r="J46" s="67" t="s">
        <v>159</v>
      </c>
      <c r="K46" s="66" t="s">
        <v>1106</v>
      </c>
      <c r="L46" s="70"/>
      <c r="M46" s="71">
        <v>5975.6875</v>
      </c>
      <c r="N46" s="71">
        <v>5898.28662109375</v>
      </c>
      <c r="O46" s="72"/>
      <c r="P46" s="73"/>
      <c r="Q46" s="73"/>
      <c r="R46" s="94"/>
      <c r="S46" s="45">
        <v>0</v>
      </c>
      <c r="T46" s="45">
        <v>1</v>
      </c>
      <c r="U46" s="46">
        <v>0</v>
      </c>
      <c r="V46" s="46">
        <v>0.030154</v>
      </c>
      <c r="W46" s="46">
        <v>0</v>
      </c>
      <c r="X46" s="46">
        <v>0.002061</v>
      </c>
      <c r="Y46" s="46">
        <v>0</v>
      </c>
      <c r="Z46" s="46">
        <v>0</v>
      </c>
      <c r="AA46" s="68">
        <v>46</v>
      </c>
      <c r="AB46" s="68"/>
      <c r="AC46" s="69"/>
      <c r="AD46" s="83" t="s">
        <v>1106</v>
      </c>
      <c r="AE46" s="83"/>
      <c r="AF46" s="83"/>
      <c r="AG46" s="83"/>
      <c r="AH46" s="83"/>
      <c r="AI46" s="83" t="s">
        <v>2124</v>
      </c>
      <c r="AJ46" s="92">
        <v>38787.15894675926</v>
      </c>
      <c r="AK46" s="89" t="str">
        <f>HYPERLINK("https://yt3.ggpht.com/ytc/AGIKgqNGvP1__u4Gh3uHiuvcwaSR6aVpTo-bY9Ko=s88-c-k-c0x00ffffff-no-rj")</f>
        <v>https://yt3.ggpht.com/ytc/AGIKgqNGvP1__u4Gh3uHiuvcwaSR6aVpTo-bY9Ko=s88-c-k-c0x00ffffff-no-rj</v>
      </c>
      <c r="AL46" s="83">
        <v>0</v>
      </c>
      <c r="AM46" s="83">
        <v>0</v>
      </c>
      <c r="AN46" s="83">
        <v>2</v>
      </c>
      <c r="AO46" s="83" t="b">
        <v>0</v>
      </c>
      <c r="AP46" s="83">
        <v>0</v>
      </c>
      <c r="AQ46" s="83"/>
      <c r="AR46" s="83"/>
      <c r="AS46" s="83" t="s">
        <v>2744</v>
      </c>
      <c r="AT46" s="89" t="str">
        <f>HYPERLINK("https://www.youtube.com/channel/UCGsDSqEabT1UvQWokuhfMaA")</f>
        <v>https://www.youtube.com/channel/UCGsDSqEabT1UvQWokuhfMaA</v>
      </c>
      <c r="AU46" s="83" t="str">
        <f>REPLACE(INDEX(GroupVertices[Group],MATCH(Vertices[[#This Row],[Vertex]],GroupVertices[Vertex],0)),1,1,"")</f>
        <v>5</v>
      </c>
      <c r="AV46" s="45"/>
      <c r="AW46" s="46"/>
      <c r="AX46" s="45"/>
      <c r="AY46" s="46"/>
      <c r="AZ46" s="45"/>
      <c r="BA46" s="46"/>
      <c r="BB46" s="45"/>
      <c r="BC46" s="46"/>
      <c r="BD46" s="45"/>
      <c r="BE46" s="110" t="s">
        <v>1874</v>
      </c>
      <c r="BF46" s="110" t="s">
        <v>1874</v>
      </c>
      <c r="BG46" s="110" t="s">
        <v>1874</v>
      </c>
      <c r="BH46" s="110" t="s">
        <v>1874</v>
      </c>
      <c r="BI46" s="2"/>
    </row>
    <row r="47" spans="1:61" ht="15">
      <c r="A47" s="61" t="s">
        <v>269</v>
      </c>
      <c r="B47" s="62" t="s">
        <v>2893</v>
      </c>
      <c r="C47" s="62"/>
      <c r="D47" s="63">
        <v>100</v>
      </c>
      <c r="E47" s="65">
        <v>50</v>
      </c>
      <c r="F47" s="100" t="str">
        <f>HYPERLINK("https://yt3.ggpht.com/ytc/AGIKgqOT5GeWKRIg-NI1xDQjVkPsfUVKBZr9sCRR_Q=s88-c-k-c0x00ffffff-no-rj")</f>
        <v>https://yt3.ggpht.com/ytc/AGIKgqOT5GeWKRIg-NI1xDQjVkPsfUVKBZr9sCRR_Q=s88-c-k-c0x00ffffff-no-rj</v>
      </c>
      <c r="G47" s="62"/>
      <c r="H47" s="66" t="s">
        <v>1107</v>
      </c>
      <c r="I47" s="67"/>
      <c r="J47" s="67" t="s">
        <v>159</v>
      </c>
      <c r="K47" s="66" t="s">
        <v>1107</v>
      </c>
      <c r="L47" s="70"/>
      <c r="M47" s="71">
        <v>9334.1728515625</v>
      </c>
      <c r="N47" s="71">
        <v>1060.2872314453125</v>
      </c>
      <c r="O47" s="72"/>
      <c r="P47" s="73"/>
      <c r="Q47" s="73"/>
      <c r="R47" s="94"/>
      <c r="S47" s="45">
        <v>0</v>
      </c>
      <c r="T47" s="45">
        <v>1</v>
      </c>
      <c r="U47" s="46">
        <v>0</v>
      </c>
      <c r="V47" s="46">
        <v>0.002364</v>
      </c>
      <c r="W47" s="46">
        <v>0</v>
      </c>
      <c r="X47" s="46">
        <v>0.002194</v>
      </c>
      <c r="Y47" s="46">
        <v>0</v>
      </c>
      <c r="Z47" s="46">
        <v>0</v>
      </c>
      <c r="AA47" s="68">
        <v>47</v>
      </c>
      <c r="AB47" s="68"/>
      <c r="AC47" s="69"/>
      <c r="AD47" s="83" t="s">
        <v>1107</v>
      </c>
      <c r="AE47" s="83"/>
      <c r="AF47" s="83"/>
      <c r="AG47" s="83"/>
      <c r="AH47" s="83"/>
      <c r="AI47" s="83" t="s">
        <v>2125</v>
      </c>
      <c r="AJ47" s="83" t="s">
        <v>2531</v>
      </c>
      <c r="AK47" s="89" t="str">
        <f>HYPERLINK("https://yt3.ggpht.com/ytc/AGIKgqOT5GeWKRIg-NI1xDQjVkPsfUVKBZr9sCRR_Q=s88-c-k-c0x00ffffff-no-rj")</f>
        <v>https://yt3.ggpht.com/ytc/AGIKgqOT5GeWKRIg-NI1xDQjVkPsfUVKBZr9sCRR_Q=s88-c-k-c0x00ffffff-no-rj</v>
      </c>
      <c r="AL47" s="83">
        <v>12</v>
      </c>
      <c r="AM47" s="83">
        <v>0</v>
      </c>
      <c r="AN47" s="83">
        <v>0</v>
      </c>
      <c r="AO47" s="83" t="b">
        <v>0</v>
      </c>
      <c r="AP47" s="83">
        <v>1</v>
      </c>
      <c r="AQ47" s="83"/>
      <c r="AR47" s="83"/>
      <c r="AS47" s="83" t="s">
        <v>2744</v>
      </c>
      <c r="AT47" s="89" t="str">
        <f>HYPERLINK("https://www.youtube.com/channel/UC4mWQROUZJVPXNCEARxkNZA")</f>
        <v>https://www.youtube.com/channel/UC4mWQROUZJVPXNCEARxkNZA</v>
      </c>
      <c r="AU47" s="83" t="str">
        <f>REPLACE(INDEX(GroupVertices[Group],MATCH(Vertices[[#This Row],[Vertex]],GroupVertices[Vertex],0)),1,1,"")</f>
        <v>22</v>
      </c>
      <c r="AV47" s="45"/>
      <c r="AW47" s="46"/>
      <c r="AX47" s="45"/>
      <c r="AY47" s="46"/>
      <c r="AZ47" s="45"/>
      <c r="BA47" s="46"/>
      <c r="BB47" s="45"/>
      <c r="BC47" s="46"/>
      <c r="BD47" s="45"/>
      <c r="BE47" s="110" t="s">
        <v>1874</v>
      </c>
      <c r="BF47" s="110" t="s">
        <v>1874</v>
      </c>
      <c r="BG47" s="110" t="s">
        <v>1874</v>
      </c>
      <c r="BH47" s="110" t="s">
        <v>1874</v>
      </c>
      <c r="BI47" s="2"/>
    </row>
    <row r="48" spans="1:61" ht="15">
      <c r="A48" s="61" t="s">
        <v>609</v>
      </c>
      <c r="B48" s="62" t="s">
        <v>2893</v>
      </c>
      <c r="C48" s="62"/>
      <c r="D48" s="63">
        <v>117.82178217821783</v>
      </c>
      <c r="E48" s="65">
        <v>62.5</v>
      </c>
      <c r="F48" s="100" t="str">
        <f>HYPERLINK("https://yt3.ggpht.com/ytc/AGIKgqPKPp8WebLQ1D-NYg3K7VSnGUKWhsEZTfMGvCO2=s88-c-k-c0x00ffffff-no-rj")</f>
        <v>https://yt3.ggpht.com/ytc/AGIKgqPKPp8WebLQ1D-NYg3K7VSnGUKWhsEZTfMGvCO2=s88-c-k-c0x00ffffff-no-rj</v>
      </c>
      <c r="G48" s="62"/>
      <c r="H48" s="66" t="s">
        <v>1890</v>
      </c>
      <c r="I48" s="67"/>
      <c r="J48" s="67" t="s">
        <v>159</v>
      </c>
      <c r="K48" s="66" t="s">
        <v>1890</v>
      </c>
      <c r="L48" s="70"/>
      <c r="M48" s="71">
        <v>9334.1728515625</v>
      </c>
      <c r="N48" s="71">
        <v>1495.636962890625</v>
      </c>
      <c r="O48" s="72"/>
      <c r="P48" s="73"/>
      <c r="Q48" s="73"/>
      <c r="R48" s="94"/>
      <c r="S48" s="45">
        <v>2</v>
      </c>
      <c r="T48" s="45">
        <v>1</v>
      </c>
      <c r="U48" s="46">
        <v>0</v>
      </c>
      <c r="V48" s="46">
        <v>0.002364</v>
      </c>
      <c r="W48" s="46">
        <v>0</v>
      </c>
      <c r="X48" s="46">
        <v>0.002523</v>
      </c>
      <c r="Y48" s="46">
        <v>0</v>
      </c>
      <c r="Z48" s="46">
        <v>0</v>
      </c>
      <c r="AA48" s="68">
        <v>48</v>
      </c>
      <c r="AB48" s="68"/>
      <c r="AC48" s="69"/>
      <c r="AD48" s="83" t="s">
        <v>1890</v>
      </c>
      <c r="AE48" s="83" t="s">
        <v>1941</v>
      </c>
      <c r="AF48" s="83"/>
      <c r="AG48" s="83"/>
      <c r="AH48" s="83"/>
      <c r="AI48" s="83" t="s">
        <v>2126</v>
      </c>
      <c r="AJ48" s="92">
        <v>43893.731944444444</v>
      </c>
      <c r="AK48" s="89" t="str">
        <f>HYPERLINK("https://yt3.ggpht.com/ytc/AGIKgqPKPp8WebLQ1D-NYg3K7VSnGUKWhsEZTfMGvCO2=s88-c-k-c0x00ffffff-no-rj")</f>
        <v>https://yt3.ggpht.com/ytc/AGIKgqPKPp8WebLQ1D-NYg3K7VSnGUKWhsEZTfMGvCO2=s88-c-k-c0x00ffffff-no-rj</v>
      </c>
      <c r="AL48" s="83">
        <v>6184</v>
      </c>
      <c r="AM48" s="83">
        <v>0</v>
      </c>
      <c r="AN48" s="83">
        <v>25</v>
      </c>
      <c r="AO48" s="83" t="b">
        <v>0</v>
      </c>
      <c r="AP48" s="83">
        <v>28</v>
      </c>
      <c r="AQ48" s="83"/>
      <c r="AR48" s="83"/>
      <c r="AS48" s="83" t="s">
        <v>2744</v>
      </c>
      <c r="AT48" s="89" t="str">
        <f>HYPERLINK("https://www.youtube.com/channel/UCt9K1RlM69XXZr6k9z27sYw")</f>
        <v>https://www.youtube.com/channel/UCt9K1RlM69XXZr6k9z27sYw</v>
      </c>
      <c r="AU48" s="83" t="str">
        <f>REPLACE(INDEX(GroupVertices[Group],MATCH(Vertices[[#This Row],[Vertex]],GroupVertices[Vertex],0)),1,1,"")</f>
        <v>22</v>
      </c>
      <c r="AV48" s="45"/>
      <c r="AW48" s="46"/>
      <c r="AX48" s="45"/>
      <c r="AY48" s="46"/>
      <c r="AZ48" s="45"/>
      <c r="BA48" s="46"/>
      <c r="BB48" s="45"/>
      <c r="BC48" s="46"/>
      <c r="BD48" s="45"/>
      <c r="BE48" s="110" t="s">
        <v>1874</v>
      </c>
      <c r="BF48" s="110" t="s">
        <v>1874</v>
      </c>
      <c r="BG48" s="110" t="s">
        <v>1874</v>
      </c>
      <c r="BH48" s="110" t="s">
        <v>1874</v>
      </c>
      <c r="BI48" s="2"/>
    </row>
    <row r="49" spans="1:61" ht="15">
      <c r="A49" s="61" t="s">
        <v>270</v>
      </c>
      <c r="B49" s="62" t="s">
        <v>2893</v>
      </c>
      <c r="C49" s="62"/>
      <c r="D49" s="63">
        <v>100</v>
      </c>
      <c r="E49" s="65">
        <v>50</v>
      </c>
      <c r="F49" s="100" t="str">
        <f>HYPERLINK("https://yt3.ggpht.com/tpsi3CxbOzZ-ubE9nlF6Xr01SDN7CVdREpy64KQE31LAaGBvR_K8CPVvLTzUHidonGIhfBFlg8Y=s88-c-k-c0x00ffffff-no-rj")</f>
        <v>https://yt3.ggpht.com/tpsi3CxbOzZ-ubE9nlF6Xr01SDN7CVdREpy64KQE31LAaGBvR_K8CPVvLTzUHidonGIhfBFlg8Y=s88-c-k-c0x00ffffff-no-rj</v>
      </c>
      <c r="G49" s="62"/>
      <c r="H49" s="66" t="s">
        <v>1108</v>
      </c>
      <c r="I49" s="67"/>
      <c r="J49" s="67" t="s">
        <v>159</v>
      </c>
      <c r="K49" s="66" t="s">
        <v>1108</v>
      </c>
      <c r="L49" s="70"/>
      <c r="M49" s="71">
        <v>4324.70068359375</v>
      </c>
      <c r="N49" s="71">
        <v>1148.7613525390625</v>
      </c>
      <c r="O49" s="72"/>
      <c r="P49" s="73"/>
      <c r="Q49" s="73"/>
      <c r="R49" s="94"/>
      <c r="S49" s="45">
        <v>0</v>
      </c>
      <c r="T49" s="45">
        <v>1</v>
      </c>
      <c r="U49" s="46">
        <v>0</v>
      </c>
      <c r="V49" s="46">
        <v>0.046698</v>
      </c>
      <c r="W49" s="46">
        <v>0</v>
      </c>
      <c r="X49" s="46">
        <v>0.002058</v>
      </c>
      <c r="Y49" s="46">
        <v>0</v>
      </c>
      <c r="Z49" s="46">
        <v>0</v>
      </c>
      <c r="AA49" s="68">
        <v>49</v>
      </c>
      <c r="AB49" s="68"/>
      <c r="AC49" s="69"/>
      <c r="AD49" s="83" t="s">
        <v>1108</v>
      </c>
      <c r="AE49" s="83"/>
      <c r="AF49" s="83"/>
      <c r="AG49" s="83"/>
      <c r="AH49" s="83"/>
      <c r="AI49" s="83" t="s">
        <v>2127</v>
      </c>
      <c r="AJ49" s="92">
        <v>40583.813425925924</v>
      </c>
      <c r="AK49" s="89" t="str">
        <f>HYPERLINK("https://yt3.ggpht.com/tpsi3CxbOzZ-ubE9nlF6Xr01SDN7CVdREpy64KQE31LAaGBvR_K8CPVvLTzUHidonGIhfBFlg8Y=s88-c-k-c0x00ffffff-no-rj")</f>
        <v>https://yt3.ggpht.com/tpsi3CxbOzZ-ubE9nlF6Xr01SDN7CVdREpy64KQE31LAaGBvR_K8CPVvLTzUHidonGIhfBFlg8Y=s88-c-k-c0x00ffffff-no-rj</v>
      </c>
      <c r="AL49" s="83">
        <v>0</v>
      </c>
      <c r="AM49" s="83">
        <v>0</v>
      </c>
      <c r="AN49" s="83">
        <v>4</v>
      </c>
      <c r="AO49" s="83" t="b">
        <v>0</v>
      </c>
      <c r="AP49" s="83">
        <v>0</v>
      </c>
      <c r="AQ49" s="83"/>
      <c r="AR49" s="83"/>
      <c r="AS49" s="83" t="s">
        <v>2744</v>
      </c>
      <c r="AT49" s="89" t="str">
        <f>HYPERLINK("https://www.youtube.com/channel/UC4_kPHzxL9msQlQCMFLVsDA")</f>
        <v>https://www.youtube.com/channel/UC4_kPHzxL9msQlQCMFLVsDA</v>
      </c>
      <c r="AU49" s="83" t="str">
        <f>REPLACE(INDEX(GroupVertices[Group],MATCH(Vertices[[#This Row],[Vertex]],GroupVertices[Vertex],0)),1,1,"")</f>
        <v>3</v>
      </c>
      <c r="AV49" s="45"/>
      <c r="AW49" s="46"/>
      <c r="AX49" s="45"/>
      <c r="AY49" s="46"/>
      <c r="AZ49" s="45"/>
      <c r="BA49" s="46"/>
      <c r="BB49" s="45"/>
      <c r="BC49" s="46"/>
      <c r="BD49" s="45"/>
      <c r="BE49" s="110" t="s">
        <v>1874</v>
      </c>
      <c r="BF49" s="110" t="s">
        <v>1874</v>
      </c>
      <c r="BG49" s="110" t="s">
        <v>1874</v>
      </c>
      <c r="BH49" s="110" t="s">
        <v>1874</v>
      </c>
      <c r="BI49" s="2"/>
    </row>
    <row r="50" spans="1:61" ht="15">
      <c r="A50" s="61" t="s">
        <v>271</v>
      </c>
      <c r="B50" s="62" t="s">
        <v>2893</v>
      </c>
      <c r="C50" s="62"/>
      <c r="D50" s="63">
        <v>100</v>
      </c>
      <c r="E50" s="65">
        <v>50</v>
      </c>
      <c r="F50" s="100" t="str">
        <f>HYPERLINK("https://yt3.ggpht.com/ytc/AGIKgqOSCxxfgfGapyrX3l-KTya4C8R0aqGpxfp7d-p4nA=s88-c-k-c0x00ffffff-no-rj")</f>
        <v>https://yt3.ggpht.com/ytc/AGIKgqOSCxxfgfGapyrX3l-KTya4C8R0aqGpxfp7d-p4nA=s88-c-k-c0x00ffffff-no-rj</v>
      </c>
      <c r="G50" s="62"/>
      <c r="H50" s="66" t="s">
        <v>1109</v>
      </c>
      <c r="I50" s="67"/>
      <c r="J50" s="67" t="s">
        <v>159</v>
      </c>
      <c r="K50" s="66" t="s">
        <v>1109</v>
      </c>
      <c r="L50" s="70"/>
      <c r="M50" s="71">
        <v>7886.51220703125</v>
      </c>
      <c r="N50" s="71">
        <v>5052.1630859375</v>
      </c>
      <c r="O50" s="72"/>
      <c r="P50" s="73"/>
      <c r="Q50" s="73"/>
      <c r="R50" s="94"/>
      <c r="S50" s="45">
        <v>0</v>
      </c>
      <c r="T50" s="45">
        <v>1</v>
      </c>
      <c r="U50" s="46">
        <v>0</v>
      </c>
      <c r="V50" s="46">
        <v>0.015445</v>
      </c>
      <c r="W50" s="46">
        <v>0</v>
      </c>
      <c r="X50" s="46">
        <v>0.00207</v>
      </c>
      <c r="Y50" s="46">
        <v>0</v>
      </c>
      <c r="Z50" s="46">
        <v>0</v>
      </c>
      <c r="AA50" s="68">
        <v>50</v>
      </c>
      <c r="AB50" s="68"/>
      <c r="AC50" s="69"/>
      <c r="AD50" s="83" t="s">
        <v>1109</v>
      </c>
      <c r="AE50" s="83" t="s">
        <v>1942</v>
      </c>
      <c r="AF50" s="83"/>
      <c r="AG50" s="83"/>
      <c r="AH50" s="83"/>
      <c r="AI50" s="83" t="s">
        <v>2128</v>
      </c>
      <c r="AJ50" s="83" t="s">
        <v>2532</v>
      </c>
      <c r="AK50" s="89" t="str">
        <f>HYPERLINK("https://yt3.ggpht.com/ytc/AGIKgqOSCxxfgfGapyrX3l-KTya4C8R0aqGpxfp7d-p4nA=s88-c-k-c0x00ffffff-no-rj")</f>
        <v>https://yt3.ggpht.com/ytc/AGIKgqOSCxxfgfGapyrX3l-KTya4C8R0aqGpxfp7d-p4nA=s88-c-k-c0x00ffffff-no-rj</v>
      </c>
      <c r="AL50" s="83">
        <v>6514</v>
      </c>
      <c r="AM50" s="83">
        <v>0</v>
      </c>
      <c r="AN50" s="83">
        <v>62</v>
      </c>
      <c r="AO50" s="83" t="b">
        <v>0</v>
      </c>
      <c r="AP50" s="83">
        <v>37</v>
      </c>
      <c r="AQ50" s="83"/>
      <c r="AR50" s="83"/>
      <c r="AS50" s="83" t="s">
        <v>2744</v>
      </c>
      <c r="AT50" s="89" t="str">
        <f>HYPERLINK("https://www.youtube.com/channel/UCKSbx6lNcMvT5esoEADAlDw")</f>
        <v>https://www.youtube.com/channel/UCKSbx6lNcMvT5esoEADAlDw</v>
      </c>
      <c r="AU50" s="83" t="str">
        <f>REPLACE(INDEX(GroupVertices[Group],MATCH(Vertices[[#This Row],[Vertex]],GroupVertices[Vertex],0)),1,1,"")</f>
        <v>10</v>
      </c>
      <c r="AV50" s="45"/>
      <c r="AW50" s="46"/>
      <c r="AX50" s="45"/>
      <c r="AY50" s="46"/>
      <c r="AZ50" s="45"/>
      <c r="BA50" s="46"/>
      <c r="BB50" s="45"/>
      <c r="BC50" s="46"/>
      <c r="BD50" s="45"/>
      <c r="BE50" s="110" t="s">
        <v>1874</v>
      </c>
      <c r="BF50" s="110" t="s">
        <v>1874</v>
      </c>
      <c r="BG50" s="110" t="s">
        <v>1874</v>
      </c>
      <c r="BH50" s="110" t="s">
        <v>1874</v>
      </c>
      <c r="BI50" s="2"/>
    </row>
    <row r="51" spans="1:61" ht="15">
      <c r="A51" s="61" t="s">
        <v>622</v>
      </c>
      <c r="B51" s="62" t="s">
        <v>2893</v>
      </c>
      <c r="C51" s="62"/>
      <c r="D51" s="63">
        <v>215.84158415841586</v>
      </c>
      <c r="E51" s="65">
        <v>100</v>
      </c>
      <c r="F51" s="100" t="str">
        <f>HYPERLINK("https://yt3.ggpht.com/ytc/AGIKgqNiUZBum9J2BmiUVEvXzHNJkbosbHNUmO7lybeRRA=s88-c-k-c0x00ffffff-no-rj")</f>
        <v>https://yt3.ggpht.com/ytc/AGIKgqNiUZBum9J2BmiUVEvXzHNJkbosbHNUmO7lybeRRA=s88-c-k-c0x00ffffff-no-rj</v>
      </c>
      <c r="G51" s="62"/>
      <c r="H51" s="66" t="s">
        <v>1446</v>
      </c>
      <c r="I51" s="67"/>
      <c r="J51" s="67" t="s">
        <v>75</v>
      </c>
      <c r="K51" s="66" t="s">
        <v>1446</v>
      </c>
      <c r="L51" s="70"/>
      <c r="M51" s="71">
        <v>7886.51220703125</v>
      </c>
      <c r="N51" s="71">
        <v>6547.80078125</v>
      </c>
      <c r="O51" s="72"/>
      <c r="P51" s="73"/>
      <c r="Q51" s="73"/>
      <c r="R51" s="94"/>
      <c r="S51" s="45">
        <v>13</v>
      </c>
      <c r="T51" s="45">
        <v>1</v>
      </c>
      <c r="U51" s="46">
        <v>176</v>
      </c>
      <c r="V51" s="46">
        <v>0.027256</v>
      </c>
      <c r="W51" s="46">
        <v>0</v>
      </c>
      <c r="X51" s="46">
        <v>0.00565</v>
      </c>
      <c r="Y51" s="46">
        <v>0</v>
      </c>
      <c r="Z51" s="46">
        <v>0</v>
      </c>
      <c r="AA51" s="68">
        <v>51</v>
      </c>
      <c r="AB51" s="68"/>
      <c r="AC51" s="69"/>
      <c r="AD51" s="83" t="s">
        <v>1446</v>
      </c>
      <c r="AE51" s="83"/>
      <c r="AF51" s="83"/>
      <c r="AG51" s="83"/>
      <c r="AH51" s="83"/>
      <c r="AI51" s="83" t="s">
        <v>2129</v>
      </c>
      <c r="AJ51" s="92">
        <v>43050.95425925926</v>
      </c>
      <c r="AK51" s="89" t="str">
        <f>HYPERLINK("https://yt3.ggpht.com/ytc/AGIKgqNiUZBum9J2BmiUVEvXzHNJkbosbHNUmO7lybeRRA=s88-c-k-c0x00ffffff-no-rj")</f>
        <v>https://yt3.ggpht.com/ytc/AGIKgqNiUZBum9J2BmiUVEvXzHNJkbosbHNUmO7lybeRRA=s88-c-k-c0x00ffffff-no-rj</v>
      </c>
      <c r="AL51" s="83">
        <v>360789</v>
      </c>
      <c r="AM51" s="83">
        <v>0</v>
      </c>
      <c r="AN51" s="83">
        <v>2940</v>
      </c>
      <c r="AO51" s="83" t="b">
        <v>0</v>
      </c>
      <c r="AP51" s="83">
        <v>292</v>
      </c>
      <c r="AQ51" s="83"/>
      <c r="AR51" s="83"/>
      <c r="AS51" s="83" t="s">
        <v>2744</v>
      </c>
      <c r="AT51" s="89" t="str">
        <f>HYPERLINK("https://www.youtube.com/channel/UCzH0b69GmcdQg-ArmrgeNsQ")</f>
        <v>https://www.youtube.com/channel/UCzH0b69GmcdQg-ArmrgeNsQ</v>
      </c>
      <c r="AU51" s="83" t="str">
        <f>REPLACE(INDEX(GroupVertices[Group],MATCH(Vertices[[#This Row],[Vertex]],GroupVertices[Vertex],0)),1,1,"")</f>
        <v>10</v>
      </c>
      <c r="AV51" s="45"/>
      <c r="AW51" s="46"/>
      <c r="AX51" s="45"/>
      <c r="AY51" s="46"/>
      <c r="AZ51" s="45"/>
      <c r="BA51" s="46"/>
      <c r="BB51" s="45"/>
      <c r="BC51" s="46"/>
      <c r="BD51" s="45"/>
      <c r="BE51" s="110" t="s">
        <v>1874</v>
      </c>
      <c r="BF51" s="110" t="s">
        <v>1874</v>
      </c>
      <c r="BG51" s="110" t="s">
        <v>1874</v>
      </c>
      <c r="BH51" s="110" t="s">
        <v>1874</v>
      </c>
      <c r="BI51" s="2"/>
    </row>
    <row r="52" spans="1:61" ht="15">
      <c r="A52" s="61" t="s">
        <v>272</v>
      </c>
      <c r="B52" s="62" t="s">
        <v>2893</v>
      </c>
      <c r="C52" s="62"/>
      <c r="D52" s="63">
        <v>100</v>
      </c>
      <c r="E52" s="65">
        <v>50</v>
      </c>
      <c r="F52" s="100" t="str">
        <f>HYPERLINK("https://yt3.ggpht.com/ytc/AGIKgqNC6lJEJi1vgy41Gh-N1hutNTeEOECYtJL9HME-mw=s88-c-k-c0x00ffffff-no-rj")</f>
        <v>https://yt3.ggpht.com/ytc/AGIKgqNC6lJEJi1vgy41Gh-N1hutNTeEOECYtJL9HME-mw=s88-c-k-c0x00ffffff-no-rj</v>
      </c>
      <c r="G52" s="62"/>
      <c r="H52" s="66" t="s">
        <v>1110</v>
      </c>
      <c r="I52" s="67"/>
      <c r="J52" s="67" t="s">
        <v>159</v>
      </c>
      <c r="K52" s="66" t="s">
        <v>1110</v>
      </c>
      <c r="L52" s="70"/>
      <c r="M52" s="71">
        <v>7550.77392578125</v>
      </c>
      <c r="N52" s="71">
        <v>5052.1630859375</v>
      </c>
      <c r="O52" s="72"/>
      <c r="P52" s="73"/>
      <c r="Q52" s="73"/>
      <c r="R52" s="94"/>
      <c r="S52" s="45">
        <v>0</v>
      </c>
      <c r="T52" s="45">
        <v>1</v>
      </c>
      <c r="U52" s="46">
        <v>0</v>
      </c>
      <c r="V52" s="46">
        <v>0.015445</v>
      </c>
      <c r="W52" s="46">
        <v>0</v>
      </c>
      <c r="X52" s="46">
        <v>0.00207</v>
      </c>
      <c r="Y52" s="46">
        <v>0</v>
      </c>
      <c r="Z52" s="46">
        <v>0</v>
      </c>
      <c r="AA52" s="68">
        <v>52</v>
      </c>
      <c r="AB52" s="68"/>
      <c r="AC52" s="69"/>
      <c r="AD52" s="83" t="s">
        <v>1110</v>
      </c>
      <c r="AE52" s="83"/>
      <c r="AF52" s="83"/>
      <c r="AG52" s="83"/>
      <c r="AH52" s="83"/>
      <c r="AI52" s="83" t="s">
        <v>2130</v>
      </c>
      <c r="AJ52" s="83" t="s">
        <v>2533</v>
      </c>
      <c r="AK52" s="89" t="str">
        <f>HYPERLINK("https://yt3.ggpht.com/ytc/AGIKgqNC6lJEJi1vgy41Gh-N1hutNTeEOECYtJL9HME-mw=s88-c-k-c0x00ffffff-no-rj")</f>
        <v>https://yt3.ggpht.com/ytc/AGIKgqNC6lJEJi1vgy41Gh-N1hutNTeEOECYtJL9HME-mw=s88-c-k-c0x00ffffff-no-rj</v>
      </c>
      <c r="AL52" s="83">
        <v>0</v>
      </c>
      <c r="AM52" s="83">
        <v>0</v>
      </c>
      <c r="AN52" s="83">
        <v>2</v>
      </c>
      <c r="AO52" s="83" t="b">
        <v>0</v>
      </c>
      <c r="AP52" s="83">
        <v>0</v>
      </c>
      <c r="AQ52" s="83"/>
      <c r="AR52" s="83"/>
      <c r="AS52" s="83" t="s">
        <v>2744</v>
      </c>
      <c r="AT52" s="89" t="str">
        <f>HYPERLINK("https://www.youtube.com/channel/UCybLfpPKeh56DfJQPrmAPzg")</f>
        <v>https://www.youtube.com/channel/UCybLfpPKeh56DfJQPrmAPzg</v>
      </c>
      <c r="AU52" s="83" t="str">
        <f>REPLACE(INDEX(GroupVertices[Group],MATCH(Vertices[[#This Row],[Vertex]],GroupVertices[Vertex],0)),1,1,"")</f>
        <v>10</v>
      </c>
      <c r="AV52" s="45"/>
      <c r="AW52" s="46"/>
      <c r="AX52" s="45"/>
      <c r="AY52" s="46"/>
      <c r="AZ52" s="45"/>
      <c r="BA52" s="46"/>
      <c r="BB52" s="45"/>
      <c r="BC52" s="46"/>
      <c r="BD52" s="45"/>
      <c r="BE52" s="110" t="s">
        <v>1874</v>
      </c>
      <c r="BF52" s="110" t="s">
        <v>1874</v>
      </c>
      <c r="BG52" s="110" t="s">
        <v>1874</v>
      </c>
      <c r="BH52" s="110" t="s">
        <v>1874</v>
      </c>
      <c r="BI52" s="2"/>
    </row>
    <row r="53" spans="1:61" ht="15">
      <c r="A53" s="61" t="s">
        <v>273</v>
      </c>
      <c r="B53" s="62" t="s">
        <v>2893</v>
      </c>
      <c r="C53" s="62"/>
      <c r="D53" s="63">
        <v>100</v>
      </c>
      <c r="E53" s="65">
        <v>50</v>
      </c>
      <c r="F53" s="100" t="str">
        <f>HYPERLINK("https://yt3.ggpht.com/mEGSQQ52haSw24RDT8BZiYyA4I9laOCrRz0pYWYL8LoZLqz3ir4uLBL06mXGpoixdV7pqbEF=s88-c-k-c0x00ffffff-no-rj")</f>
        <v>https://yt3.ggpht.com/mEGSQQ52haSw24RDT8BZiYyA4I9laOCrRz0pYWYL8LoZLqz3ir4uLBL06mXGpoixdV7pqbEF=s88-c-k-c0x00ffffff-no-rj</v>
      </c>
      <c r="G53" s="62"/>
      <c r="H53" s="66" t="s">
        <v>1111</v>
      </c>
      <c r="I53" s="67"/>
      <c r="J53" s="67" t="s">
        <v>159</v>
      </c>
      <c r="K53" s="66" t="s">
        <v>1111</v>
      </c>
      <c r="L53" s="70"/>
      <c r="M53" s="71">
        <v>5787.98486328125</v>
      </c>
      <c r="N53" s="71">
        <v>6757.283203125</v>
      </c>
      <c r="O53" s="72"/>
      <c r="P53" s="73"/>
      <c r="Q53" s="73"/>
      <c r="R53" s="94"/>
      <c r="S53" s="45">
        <v>0</v>
      </c>
      <c r="T53" s="45">
        <v>1</v>
      </c>
      <c r="U53" s="46">
        <v>0</v>
      </c>
      <c r="V53" s="46">
        <v>0.031335</v>
      </c>
      <c r="W53" s="46">
        <v>0</v>
      </c>
      <c r="X53" s="46">
        <v>0.002061</v>
      </c>
      <c r="Y53" s="46">
        <v>0</v>
      </c>
      <c r="Z53" s="46">
        <v>0</v>
      </c>
      <c r="AA53" s="68">
        <v>53</v>
      </c>
      <c r="AB53" s="68"/>
      <c r="AC53" s="69"/>
      <c r="AD53" s="83" t="s">
        <v>1111</v>
      </c>
      <c r="AE53" s="83" t="s">
        <v>1943</v>
      </c>
      <c r="AF53" s="83"/>
      <c r="AG53" s="83"/>
      <c r="AH53" s="83"/>
      <c r="AI53" s="83" t="s">
        <v>2131</v>
      </c>
      <c r="AJ53" s="83" t="s">
        <v>2534</v>
      </c>
      <c r="AK53" s="89" t="str">
        <f>HYPERLINK("https://yt3.ggpht.com/mEGSQQ52haSw24RDT8BZiYyA4I9laOCrRz0pYWYL8LoZLqz3ir4uLBL06mXGpoixdV7pqbEF=s88-c-k-c0x00ffffff-no-rj")</f>
        <v>https://yt3.ggpht.com/mEGSQQ52haSw24RDT8BZiYyA4I9laOCrRz0pYWYL8LoZLqz3ir4uLBL06mXGpoixdV7pqbEF=s88-c-k-c0x00ffffff-no-rj</v>
      </c>
      <c r="AL53" s="83">
        <v>1319</v>
      </c>
      <c r="AM53" s="83">
        <v>0</v>
      </c>
      <c r="AN53" s="83">
        <v>13</v>
      </c>
      <c r="AO53" s="83" t="b">
        <v>0</v>
      </c>
      <c r="AP53" s="83">
        <v>11</v>
      </c>
      <c r="AQ53" s="83"/>
      <c r="AR53" s="83"/>
      <c r="AS53" s="83" t="s">
        <v>2744</v>
      </c>
      <c r="AT53" s="89" t="str">
        <f>HYPERLINK("https://www.youtube.com/channel/UCboW-6Dhq34vMlhoRWDUazw")</f>
        <v>https://www.youtube.com/channel/UCboW-6Dhq34vMlhoRWDUazw</v>
      </c>
      <c r="AU53" s="83" t="str">
        <f>REPLACE(INDEX(GroupVertices[Group],MATCH(Vertices[[#This Row],[Vertex]],GroupVertices[Vertex],0)),1,1,"")</f>
        <v>4</v>
      </c>
      <c r="AV53" s="45"/>
      <c r="AW53" s="46"/>
      <c r="AX53" s="45"/>
      <c r="AY53" s="46"/>
      <c r="AZ53" s="45"/>
      <c r="BA53" s="46"/>
      <c r="BB53" s="45"/>
      <c r="BC53" s="46"/>
      <c r="BD53" s="45"/>
      <c r="BE53" s="110" t="s">
        <v>1874</v>
      </c>
      <c r="BF53" s="110" t="s">
        <v>1874</v>
      </c>
      <c r="BG53" s="110" t="s">
        <v>1874</v>
      </c>
      <c r="BH53" s="110" t="s">
        <v>1874</v>
      </c>
      <c r="BI53" s="2"/>
    </row>
    <row r="54" spans="1:61" ht="15">
      <c r="A54" s="61" t="s">
        <v>614</v>
      </c>
      <c r="B54" s="62" t="s">
        <v>2893</v>
      </c>
      <c r="C54" s="62"/>
      <c r="D54" s="63">
        <v>340.5940594059406</v>
      </c>
      <c r="E54" s="65">
        <v>100</v>
      </c>
      <c r="F54" s="100" t="str">
        <f>HYPERLINK("https://yt3.ggpht.com/YKrh5sIYpesEIHbjfgqwFjFx3ZgIjM_zak2z0LO8QENSgrmgKBes1m65POj9jkmzm0qoKwgl=s88-c-k-c0x00ffffff-no-rj")</f>
        <v>https://yt3.ggpht.com/YKrh5sIYpesEIHbjfgqwFjFx3ZgIjM_zak2z0LO8QENSgrmgKBes1m65POj9jkmzm0qoKwgl=s88-c-k-c0x00ffffff-no-rj</v>
      </c>
      <c r="G54" s="62"/>
      <c r="H54" s="66" t="s">
        <v>1445</v>
      </c>
      <c r="I54" s="67"/>
      <c r="J54" s="67" t="s">
        <v>75</v>
      </c>
      <c r="K54" s="66" t="s">
        <v>1445</v>
      </c>
      <c r="L54" s="70"/>
      <c r="M54" s="71">
        <v>5787.98486328125</v>
      </c>
      <c r="N54" s="71">
        <v>9448.9609375</v>
      </c>
      <c r="O54" s="72"/>
      <c r="P54" s="73"/>
      <c r="Q54" s="73"/>
      <c r="R54" s="94"/>
      <c r="S54" s="45">
        <v>27</v>
      </c>
      <c r="T54" s="45">
        <v>1</v>
      </c>
      <c r="U54" s="46">
        <v>650</v>
      </c>
      <c r="V54" s="46">
        <v>0.061466</v>
      </c>
      <c r="W54" s="46">
        <v>0</v>
      </c>
      <c r="X54" s="46">
        <v>0.010098</v>
      </c>
      <c r="Y54" s="46">
        <v>0</v>
      </c>
      <c r="Z54" s="46">
        <v>0</v>
      </c>
      <c r="AA54" s="68">
        <v>54</v>
      </c>
      <c r="AB54" s="68"/>
      <c r="AC54" s="69"/>
      <c r="AD54" s="83" t="s">
        <v>1445</v>
      </c>
      <c r="AE54" s="83" t="s">
        <v>1944</v>
      </c>
      <c r="AF54" s="83"/>
      <c r="AG54" s="83"/>
      <c r="AH54" s="83"/>
      <c r="AI54" s="83" t="s">
        <v>2132</v>
      </c>
      <c r="AJ54" s="83" t="s">
        <v>2535</v>
      </c>
      <c r="AK54" s="89" t="str">
        <f>HYPERLINK("https://yt3.ggpht.com/YKrh5sIYpesEIHbjfgqwFjFx3ZgIjM_zak2z0LO8QENSgrmgKBes1m65POj9jkmzm0qoKwgl=s88-c-k-c0x00ffffff-no-rj")</f>
        <v>https://yt3.ggpht.com/YKrh5sIYpesEIHbjfgqwFjFx3ZgIjM_zak2z0LO8QENSgrmgKBes1m65POj9jkmzm0qoKwgl=s88-c-k-c0x00ffffff-no-rj</v>
      </c>
      <c r="AL54" s="83">
        <v>3299700949</v>
      </c>
      <c r="AM54" s="83">
        <v>0</v>
      </c>
      <c r="AN54" s="83">
        <v>10400000</v>
      </c>
      <c r="AO54" s="83" t="b">
        <v>0</v>
      </c>
      <c r="AP54" s="83">
        <v>104831</v>
      </c>
      <c r="AQ54" s="83"/>
      <c r="AR54" s="83"/>
      <c r="AS54" s="83" t="s">
        <v>2744</v>
      </c>
      <c r="AT54" s="89" t="str">
        <f>HYPERLINK("https://www.youtube.com/channel/UCNye-wNBqNL5ZzHSJj3l8Bg")</f>
        <v>https://www.youtube.com/channel/UCNye-wNBqNL5ZzHSJj3l8Bg</v>
      </c>
      <c r="AU54" s="83" t="str">
        <f>REPLACE(INDEX(GroupVertices[Group],MATCH(Vertices[[#This Row],[Vertex]],GroupVertices[Vertex],0)),1,1,"")</f>
        <v>4</v>
      </c>
      <c r="AV54" s="45"/>
      <c r="AW54" s="46"/>
      <c r="AX54" s="45"/>
      <c r="AY54" s="46"/>
      <c r="AZ54" s="45"/>
      <c r="BA54" s="46"/>
      <c r="BB54" s="45"/>
      <c r="BC54" s="46"/>
      <c r="BD54" s="45"/>
      <c r="BE54" s="110" t="s">
        <v>1874</v>
      </c>
      <c r="BF54" s="110" t="s">
        <v>1874</v>
      </c>
      <c r="BG54" s="110" t="s">
        <v>1874</v>
      </c>
      <c r="BH54" s="110" t="s">
        <v>1874</v>
      </c>
      <c r="BI54" s="2"/>
    </row>
    <row r="55" spans="1:61" ht="15">
      <c r="A55" s="61" t="s">
        <v>274</v>
      </c>
      <c r="B55" s="62" t="s">
        <v>2893</v>
      </c>
      <c r="C55" s="62"/>
      <c r="D55" s="63">
        <v>100</v>
      </c>
      <c r="E55" s="65">
        <v>50</v>
      </c>
      <c r="F55" s="100" t="str">
        <f>HYPERLINK("https://yt3.ggpht.com/ytc/AGIKgqO7vm6mrSla-F4vmuIirSDk7ErVlpn2lMnl2LU=s88-c-k-c0x00ffffff-no-rj")</f>
        <v>https://yt3.ggpht.com/ytc/AGIKgqO7vm6mrSla-F4vmuIirSDk7ErVlpn2lMnl2LU=s88-c-k-c0x00ffffff-no-rj</v>
      </c>
      <c r="G55" s="62"/>
      <c r="H55" s="66" t="s">
        <v>1112</v>
      </c>
      <c r="I55" s="67"/>
      <c r="J55" s="67" t="s">
        <v>159</v>
      </c>
      <c r="K55" s="66" t="s">
        <v>1112</v>
      </c>
      <c r="L55" s="70"/>
      <c r="M55" s="71">
        <v>5466.208984375</v>
      </c>
      <c r="N55" s="71">
        <v>6757.283203125</v>
      </c>
      <c r="O55" s="72"/>
      <c r="P55" s="73"/>
      <c r="Q55" s="73"/>
      <c r="R55" s="94"/>
      <c r="S55" s="45">
        <v>0</v>
      </c>
      <c r="T55" s="45">
        <v>1</v>
      </c>
      <c r="U55" s="46">
        <v>0</v>
      </c>
      <c r="V55" s="46">
        <v>0.031335</v>
      </c>
      <c r="W55" s="46">
        <v>0</v>
      </c>
      <c r="X55" s="46">
        <v>0.002061</v>
      </c>
      <c r="Y55" s="46">
        <v>0</v>
      </c>
      <c r="Z55" s="46">
        <v>0</v>
      </c>
      <c r="AA55" s="68">
        <v>55</v>
      </c>
      <c r="AB55" s="68"/>
      <c r="AC55" s="69"/>
      <c r="AD55" s="83" t="s">
        <v>1112</v>
      </c>
      <c r="AE55" s="83" t="s">
        <v>1945</v>
      </c>
      <c r="AF55" s="83"/>
      <c r="AG55" s="83"/>
      <c r="AH55" s="83"/>
      <c r="AI55" s="83" t="s">
        <v>2133</v>
      </c>
      <c r="AJ55" s="83" t="s">
        <v>2536</v>
      </c>
      <c r="AK55" s="89" t="str">
        <f>HYPERLINK("https://yt3.ggpht.com/ytc/AGIKgqO7vm6mrSla-F4vmuIirSDk7ErVlpn2lMnl2LU=s88-c-k-c0x00ffffff-no-rj")</f>
        <v>https://yt3.ggpht.com/ytc/AGIKgqO7vm6mrSla-F4vmuIirSDk7ErVlpn2lMnl2LU=s88-c-k-c0x00ffffff-no-rj</v>
      </c>
      <c r="AL55" s="83">
        <v>0</v>
      </c>
      <c r="AM55" s="83">
        <v>0</v>
      </c>
      <c r="AN55" s="83">
        <v>2</v>
      </c>
      <c r="AO55" s="83" t="b">
        <v>0</v>
      </c>
      <c r="AP55" s="83">
        <v>0</v>
      </c>
      <c r="AQ55" s="83"/>
      <c r="AR55" s="83"/>
      <c r="AS55" s="83" t="s">
        <v>2744</v>
      </c>
      <c r="AT55" s="89" t="str">
        <f>HYPERLINK("https://www.youtube.com/channel/UCwxYY9Aa1wnn7ENO-TMs1Cw")</f>
        <v>https://www.youtube.com/channel/UCwxYY9Aa1wnn7ENO-TMs1Cw</v>
      </c>
      <c r="AU55" s="83" t="str">
        <f>REPLACE(INDEX(GroupVertices[Group],MATCH(Vertices[[#This Row],[Vertex]],GroupVertices[Vertex],0)),1,1,"")</f>
        <v>4</v>
      </c>
      <c r="AV55" s="45"/>
      <c r="AW55" s="46"/>
      <c r="AX55" s="45"/>
      <c r="AY55" s="46"/>
      <c r="AZ55" s="45"/>
      <c r="BA55" s="46"/>
      <c r="BB55" s="45"/>
      <c r="BC55" s="46"/>
      <c r="BD55" s="45"/>
      <c r="BE55" s="110" t="s">
        <v>1874</v>
      </c>
      <c r="BF55" s="110" t="s">
        <v>1874</v>
      </c>
      <c r="BG55" s="110" t="s">
        <v>1874</v>
      </c>
      <c r="BH55" s="110" t="s">
        <v>1874</v>
      </c>
      <c r="BI55" s="2"/>
    </row>
    <row r="56" spans="1:61" ht="15">
      <c r="A56" s="61" t="s">
        <v>275</v>
      </c>
      <c r="B56" s="62" t="s">
        <v>2893</v>
      </c>
      <c r="C56" s="62"/>
      <c r="D56" s="63">
        <v>100</v>
      </c>
      <c r="E56" s="65">
        <v>50</v>
      </c>
      <c r="F56" s="100" t="str">
        <f>HYPERLINK("https://yt3.ggpht.com/ytc/AGIKgqOH-1nJX02lT5TOf6rMd8knMMYdOmmSiL0UCHZVTQ=s88-c-k-c0x00ffffff-no-rj")</f>
        <v>https://yt3.ggpht.com/ytc/AGIKgqOH-1nJX02lT5TOf6rMd8knMMYdOmmSiL0UCHZVTQ=s88-c-k-c0x00ffffff-no-rj</v>
      </c>
      <c r="G56" s="62"/>
      <c r="H56" s="66" t="s">
        <v>1113</v>
      </c>
      <c r="I56" s="67"/>
      <c r="J56" s="67" t="s">
        <v>159</v>
      </c>
      <c r="K56" s="66" t="s">
        <v>1113</v>
      </c>
      <c r="L56" s="70"/>
      <c r="M56" s="71">
        <v>6753.31396484375</v>
      </c>
      <c r="N56" s="71">
        <v>7295.61865234375</v>
      </c>
      <c r="O56" s="72"/>
      <c r="P56" s="73"/>
      <c r="Q56" s="73"/>
      <c r="R56" s="94"/>
      <c r="S56" s="45">
        <v>0</v>
      </c>
      <c r="T56" s="45">
        <v>1</v>
      </c>
      <c r="U56" s="46">
        <v>0</v>
      </c>
      <c r="V56" s="46">
        <v>0.031335</v>
      </c>
      <c r="W56" s="46">
        <v>0</v>
      </c>
      <c r="X56" s="46">
        <v>0.002061</v>
      </c>
      <c r="Y56" s="46">
        <v>0</v>
      </c>
      <c r="Z56" s="46">
        <v>0</v>
      </c>
      <c r="AA56" s="68">
        <v>56</v>
      </c>
      <c r="AB56" s="68"/>
      <c r="AC56" s="69"/>
      <c r="AD56" s="83" t="s">
        <v>1113</v>
      </c>
      <c r="AE56" s="83"/>
      <c r="AF56" s="83"/>
      <c r="AG56" s="83"/>
      <c r="AH56" s="83"/>
      <c r="AI56" s="83" t="s">
        <v>2134</v>
      </c>
      <c r="AJ56" s="92">
        <v>43689.378530092596</v>
      </c>
      <c r="AK56" s="89" t="str">
        <f>HYPERLINK("https://yt3.ggpht.com/ytc/AGIKgqOH-1nJX02lT5TOf6rMd8knMMYdOmmSiL0UCHZVTQ=s88-c-k-c0x00ffffff-no-rj")</f>
        <v>https://yt3.ggpht.com/ytc/AGIKgqOH-1nJX02lT5TOf6rMd8knMMYdOmmSiL0UCHZVTQ=s88-c-k-c0x00ffffff-no-rj</v>
      </c>
      <c r="AL56" s="83">
        <v>0</v>
      </c>
      <c r="AM56" s="83">
        <v>0</v>
      </c>
      <c r="AN56" s="83">
        <v>4</v>
      </c>
      <c r="AO56" s="83" t="b">
        <v>0</v>
      </c>
      <c r="AP56" s="83">
        <v>0</v>
      </c>
      <c r="AQ56" s="83"/>
      <c r="AR56" s="83"/>
      <c r="AS56" s="83" t="s">
        <v>2744</v>
      </c>
      <c r="AT56" s="89" t="str">
        <f>HYPERLINK("https://www.youtube.com/channel/UCpDMjexIM1Fs2QwTzRXiUEg")</f>
        <v>https://www.youtube.com/channel/UCpDMjexIM1Fs2QwTzRXiUEg</v>
      </c>
      <c r="AU56" s="83" t="str">
        <f>REPLACE(INDEX(GroupVertices[Group],MATCH(Vertices[[#This Row],[Vertex]],GroupVertices[Vertex],0)),1,1,"")</f>
        <v>4</v>
      </c>
      <c r="AV56" s="45"/>
      <c r="AW56" s="46"/>
      <c r="AX56" s="45"/>
      <c r="AY56" s="46"/>
      <c r="AZ56" s="45"/>
      <c r="BA56" s="46"/>
      <c r="BB56" s="45"/>
      <c r="BC56" s="46"/>
      <c r="BD56" s="45"/>
      <c r="BE56" s="110" t="s">
        <v>1874</v>
      </c>
      <c r="BF56" s="110" t="s">
        <v>1874</v>
      </c>
      <c r="BG56" s="110" t="s">
        <v>1874</v>
      </c>
      <c r="BH56" s="110" t="s">
        <v>1874</v>
      </c>
      <c r="BI56" s="2"/>
    </row>
    <row r="57" spans="1:61" ht="15">
      <c r="A57" s="61" t="s">
        <v>276</v>
      </c>
      <c r="B57" s="62" t="s">
        <v>2893</v>
      </c>
      <c r="C57" s="62"/>
      <c r="D57" s="63">
        <v>100</v>
      </c>
      <c r="E57" s="65">
        <v>50</v>
      </c>
      <c r="F57" s="100" t="str">
        <f>HYPERLINK("https://yt3.ggpht.com/9Q8bw4mtVdbOXjrc3rsWL8SGQZH1QhlS6G0vD3lB3WrouYRZwM6SNdMW7eKRsqjW8ccfC2ss2cY=s88-c-k-c0x00ffffff-no-rj")</f>
        <v>https://yt3.ggpht.com/9Q8bw4mtVdbOXjrc3rsWL8SGQZH1QhlS6G0vD3lB3WrouYRZwM6SNdMW7eKRsqjW8ccfC2ss2cY=s88-c-k-c0x00ffffff-no-rj</v>
      </c>
      <c r="G57" s="62"/>
      <c r="H57" s="66" t="s">
        <v>1114</v>
      </c>
      <c r="I57" s="67"/>
      <c r="J57" s="67" t="s">
        <v>159</v>
      </c>
      <c r="K57" s="66" t="s">
        <v>1114</v>
      </c>
      <c r="L57" s="70"/>
      <c r="M57" s="71">
        <v>6431.5380859375</v>
      </c>
      <c r="N57" s="71">
        <v>7295.61865234375</v>
      </c>
      <c r="O57" s="72"/>
      <c r="P57" s="73"/>
      <c r="Q57" s="73"/>
      <c r="R57" s="94"/>
      <c r="S57" s="45">
        <v>0</v>
      </c>
      <c r="T57" s="45">
        <v>1</v>
      </c>
      <c r="U57" s="46">
        <v>0</v>
      </c>
      <c r="V57" s="46">
        <v>0.031335</v>
      </c>
      <c r="W57" s="46">
        <v>0</v>
      </c>
      <c r="X57" s="46">
        <v>0.002061</v>
      </c>
      <c r="Y57" s="46">
        <v>0</v>
      </c>
      <c r="Z57" s="46">
        <v>0</v>
      </c>
      <c r="AA57" s="68">
        <v>57</v>
      </c>
      <c r="AB57" s="68"/>
      <c r="AC57" s="69"/>
      <c r="AD57" s="83" t="s">
        <v>1114</v>
      </c>
      <c r="AE57" s="83"/>
      <c r="AF57" s="83"/>
      <c r="AG57" s="83"/>
      <c r="AH57" s="83"/>
      <c r="AI57" s="83" t="s">
        <v>2135</v>
      </c>
      <c r="AJ57" s="92">
        <v>42434.82974537037</v>
      </c>
      <c r="AK57" s="89" t="str">
        <f>HYPERLINK("https://yt3.ggpht.com/9Q8bw4mtVdbOXjrc3rsWL8SGQZH1QhlS6G0vD3lB3WrouYRZwM6SNdMW7eKRsqjW8ccfC2ss2cY=s88-c-k-c0x00ffffff-no-rj")</f>
        <v>https://yt3.ggpht.com/9Q8bw4mtVdbOXjrc3rsWL8SGQZH1QhlS6G0vD3lB3WrouYRZwM6SNdMW7eKRsqjW8ccfC2ss2cY=s88-c-k-c0x00ffffff-no-rj</v>
      </c>
      <c r="AL57" s="83">
        <v>0</v>
      </c>
      <c r="AM57" s="83">
        <v>0</v>
      </c>
      <c r="AN57" s="83">
        <v>19</v>
      </c>
      <c r="AO57" s="83" t="b">
        <v>0</v>
      </c>
      <c r="AP57" s="83">
        <v>0</v>
      </c>
      <c r="AQ57" s="83"/>
      <c r="AR57" s="83"/>
      <c r="AS57" s="83" t="s">
        <v>2744</v>
      </c>
      <c r="AT57" s="89" t="str">
        <f>HYPERLINK("https://www.youtube.com/channel/UCt_JtyPqPReLXqUjXEMFY9w")</f>
        <v>https://www.youtube.com/channel/UCt_JtyPqPReLXqUjXEMFY9w</v>
      </c>
      <c r="AU57" s="83" t="str">
        <f>REPLACE(INDEX(GroupVertices[Group],MATCH(Vertices[[#This Row],[Vertex]],GroupVertices[Vertex],0)),1,1,"")</f>
        <v>4</v>
      </c>
      <c r="AV57" s="45"/>
      <c r="AW57" s="46"/>
      <c r="AX57" s="45"/>
      <c r="AY57" s="46"/>
      <c r="AZ57" s="45"/>
      <c r="BA57" s="46"/>
      <c r="BB57" s="45"/>
      <c r="BC57" s="46"/>
      <c r="BD57" s="45"/>
      <c r="BE57" s="110" t="s">
        <v>1874</v>
      </c>
      <c r="BF57" s="110" t="s">
        <v>1874</v>
      </c>
      <c r="BG57" s="110" t="s">
        <v>1874</v>
      </c>
      <c r="BH57" s="110" t="s">
        <v>1874</v>
      </c>
      <c r="BI57" s="2"/>
    </row>
    <row r="58" spans="1:61" ht="15">
      <c r="A58" s="61" t="s">
        <v>277</v>
      </c>
      <c r="B58" s="62" t="s">
        <v>2893</v>
      </c>
      <c r="C58" s="62"/>
      <c r="D58" s="63">
        <v>100</v>
      </c>
      <c r="E58" s="65">
        <v>50</v>
      </c>
      <c r="F58" s="100" t="str">
        <f>HYPERLINK("https://yt3.ggpht.com/ytc/AGIKgqNmyVLuCIJGawg3OClBt5-vPtjKgfUA74R0pw=s88-c-k-c0x00ffffff-no-rj")</f>
        <v>https://yt3.ggpht.com/ytc/AGIKgqNmyVLuCIJGawg3OClBt5-vPtjKgfUA74R0pw=s88-c-k-c0x00ffffff-no-rj</v>
      </c>
      <c r="G58" s="62"/>
      <c r="H58" s="66" t="s">
        <v>1115</v>
      </c>
      <c r="I58" s="67"/>
      <c r="J58" s="67" t="s">
        <v>159</v>
      </c>
      <c r="K58" s="66" t="s">
        <v>1115</v>
      </c>
      <c r="L58" s="70"/>
      <c r="M58" s="71">
        <v>6109.76123046875</v>
      </c>
      <c r="N58" s="71">
        <v>7295.61865234375</v>
      </c>
      <c r="O58" s="72"/>
      <c r="P58" s="73"/>
      <c r="Q58" s="73"/>
      <c r="R58" s="94"/>
      <c r="S58" s="45">
        <v>0</v>
      </c>
      <c r="T58" s="45">
        <v>1</v>
      </c>
      <c r="U58" s="46">
        <v>0</v>
      </c>
      <c r="V58" s="46">
        <v>0.031335</v>
      </c>
      <c r="W58" s="46">
        <v>0</v>
      </c>
      <c r="X58" s="46">
        <v>0.002061</v>
      </c>
      <c r="Y58" s="46">
        <v>0</v>
      </c>
      <c r="Z58" s="46">
        <v>0</v>
      </c>
      <c r="AA58" s="68">
        <v>58</v>
      </c>
      <c r="AB58" s="68"/>
      <c r="AC58" s="69"/>
      <c r="AD58" s="83" t="s">
        <v>1115</v>
      </c>
      <c r="AE58" s="83"/>
      <c r="AF58" s="83"/>
      <c r="AG58" s="83"/>
      <c r="AH58" s="83"/>
      <c r="AI58" s="83" t="s">
        <v>2136</v>
      </c>
      <c r="AJ58" s="83" t="s">
        <v>2537</v>
      </c>
      <c r="AK58" s="89" t="str">
        <f>HYPERLINK("https://yt3.ggpht.com/ytc/AGIKgqNmyVLuCIJGawg3OClBt5-vPtjKgfUA74R0pw=s88-c-k-c0x00ffffff-no-rj")</f>
        <v>https://yt3.ggpht.com/ytc/AGIKgqNmyVLuCIJGawg3OClBt5-vPtjKgfUA74R0pw=s88-c-k-c0x00ffffff-no-rj</v>
      </c>
      <c r="AL58" s="83">
        <v>0</v>
      </c>
      <c r="AM58" s="83">
        <v>0</v>
      </c>
      <c r="AN58" s="83">
        <v>1</v>
      </c>
      <c r="AO58" s="83" t="b">
        <v>0</v>
      </c>
      <c r="AP58" s="83">
        <v>0</v>
      </c>
      <c r="AQ58" s="83"/>
      <c r="AR58" s="83"/>
      <c r="AS58" s="83" t="s">
        <v>2744</v>
      </c>
      <c r="AT58" s="89" t="str">
        <f>HYPERLINK("https://www.youtube.com/channel/UCdx3jSeo4KNSXS4bBXIah2w")</f>
        <v>https://www.youtube.com/channel/UCdx3jSeo4KNSXS4bBXIah2w</v>
      </c>
      <c r="AU58" s="83" t="str">
        <f>REPLACE(INDEX(GroupVertices[Group],MATCH(Vertices[[#This Row],[Vertex]],GroupVertices[Vertex],0)),1,1,"")</f>
        <v>4</v>
      </c>
      <c r="AV58" s="45"/>
      <c r="AW58" s="46"/>
      <c r="AX58" s="45"/>
      <c r="AY58" s="46"/>
      <c r="AZ58" s="45"/>
      <c r="BA58" s="46"/>
      <c r="BB58" s="45"/>
      <c r="BC58" s="46"/>
      <c r="BD58" s="45"/>
      <c r="BE58" s="110" t="s">
        <v>1874</v>
      </c>
      <c r="BF58" s="110" t="s">
        <v>1874</v>
      </c>
      <c r="BG58" s="110" t="s">
        <v>1874</v>
      </c>
      <c r="BH58" s="110" t="s">
        <v>1874</v>
      </c>
      <c r="BI58" s="2"/>
    </row>
    <row r="59" spans="1:61" ht="15">
      <c r="A59" s="61" t="s">
        <v>278</v>
      </c>
      <c r="B59" s="62" t="s">
        <v>2893</v>
      </c>
      <c r="C59" s="62"/>
      <c r="D59" s="63">
        <v>100</v>
      </c>
      <c r="E59" s="65">
        <v>50</v>
      </c>
      <c r="F59" s="100" t="str">
        <f>HYPERLINK("https://yt3.ggpht.com/TJADIuj43T5Go20V-DZDmU7WcTVTMSg5zD6SDk7edum_UWiargzJv_6WD2ets_KRVCZfi0-yhw=s88-c-k-c0x00ffffff-no-rj")</f>
        <v>https://yt3.ggpht.com/TJADIuj43T5Go20V-DZDmU7WcTVTMSg5zD6SDk7edum_UWiargzJv_6WD2ets_KRVCZfi0-yhw=s88-c-k-c0x00ffffff-no-rj</v>
      </c>
      <c r="G59" s="62"/>
      <c r="H59" s="66" t="s">
        <v>1116</v>
      </c>
      <c r="I59" s="67"/>
      <c r="J59" s="67" t="s">
        <v>159</v>
      </c>
      <c r="K59" s="66" t="s">
        <v>1116</v>
      </c>
      <c r="L59" s="70"/>
      <c r="M59" s="71">
        <v>5787.98486328125</v>
      </c>
      <c r="N59" s="71">
        <v>7295.61865234375</v>
      </c>
      <c r="O59" s="72"/>
      <c r="P59" s="73"/>
      <c r="Q59" s="73"/>
      <c r="R59" s="94"/>
      <c r="S59" s="45">
        <v>0</v>
      </c>
      <c r="T59" s="45">
        <v>1</v>
      </c>
      <c r="U59" s="46">
        <v>0</v>
      </c>
      <c r="V59" s="46">
        <v>0.031335</v>
      </c>
      <c r="W59" s="46">
        <v>0</v>
      </c>
      <c r="X59" s="46">
        <v>0.002061</v>
      </c>
      <c r="Y59" s="46">
        <v>0</v>
      </c>
      <c r="Z59" s="46">
        <v>0</v>
      </c>
      <c r="AA59" s="68">
        <v>59</v>
      </c>
      <c r="AB59" s="68"/>
      <c r="AC59" s="69"/>
      <c r="AD59" s="83" t="s">
        <v>1116</v>
      </c>
      <c r="AE59" s="83"/>
      <c r="AF59" s="83"/>
      <c r="AG59" s="83"/>
      <c r="AH59" s="83"/>
      <c r="AI59" s="83" t="s">
        <v>2137</v>
      </c>
      <c r="AJ59" s="92">
        <v>41316.068090277775</v>
      </c>
      <c r="AK59" s="89" t="str">
        <f>HYPERLINK("https://yt3.ggpht.com/TJADIuj43T5Go20V-DZDmU7WcTVTMSg5zD6SDk7edum_UWiargzJv_6WD2ets_KRVCZfi0-yhw=s88-c-k-c0x00ffffff-no-rj")</f>
        <v>https://yt3.ggpht.com/TJADIuj43T5Go20V-DZDmU7WcTVTMSg5zD6SDk7edum_UWiargzJv_6WD2ets_KRVCZfi0-yhw=s88-c-k-c0x00ffffff-no-rj</v>
      </c>
      <c r="AL59" s="83">
        <v>455</v>
      </c>
      <c r="AM59" s="83">
        <v>0</v>
      </c>
      <c r="AN59" s="83">
        <v>4</v>
      </c>
      <c r="AO59" s="83" t="b">
        <v>0</v>
      </c>
      <c r="AP59" s="83">
        <v>11</v>
      </c>
      <c r="AQ59" s="83"/>
      <c r="AR59" s="83"/>
      <c r="AS59" s="83" t="s">
        <v>2744</v>
      </c>
      <c r="AT59" s="89" t="str">
        <f>HYPERLINK("https://www.youtube.com/channel/UCI6WGi4DKkaaBl__rBvifGQ")</f>
        <v>https://www.youtube.com/channel/UCI6WGi4DKkaaBl__rBvifGQ</v>
      </c>
      <c r="AU59" s="83" t="str">
        <f>REPLACE(INDEX(GroupVertices[Group],MATCH(Vertices[[#This Row],[Vertex]],GroupVertices[Vertex],0)),1,1,"")</f>
        <v>4</v>
      </c>
      <c r="AV59" s="45"/>
      <c r="AW59" s="46"/>
      <c r="AX59" s="45"/>
      <c r="AY59" s="46"/>
      <c r="AZ59" s="45"/>
      <c r="BA59" s="46"/>
      <c r="BB59" s="45"/>
      <c r="BC59" s="46"/>
      <c r="BD59" s="45"/>
      <c r="BE59" s="110" t="s">
        <v>1874</v>
      </c>
      <c r="BF59" s="110" t="s">
        <v>1874</v>
      </c>
      <c r="BG59" s="110" t="s">
        <v>1874</v>
      </c>
      <c r="BH59" s="110" t="s">
        <v>1874</v>
      </c>
      <c r="BI59" s="2"/>
    </row>
    <row r="60" spans="1:61" ht="15">
      <c r="A60" s="61" t="s">
        <v>279</v>
      </c>
      <c r="B60" s="62" t="s">
        <v>2893</v>
      </c>
      <c r="C60" s="62"/>
      <c r="D60" s="63">
        <v>100</v>
      </c>
      <c r="E60" s="65">
        <v>50</v>
      </c>
      <c r="F60" s="100" t="str">
        <f>HYPERLINK("https://yt3.ggpht.com/ytc/AGIKgqOv7s45kkMKZSA1ccI1bNv97ZxvkULoMxhwEZ7h=s88-c-k-c0x00ffffff-no-rj")</f>
        <v>https://yt3.ggpht.com/ytc/AGIKgqOv7s45kkMKZSA1ccI1bNv97ZxvkULoMxhwEZ7h=s88-c-k-c0x00ffffff-no-rj</v>
      </c>
      <c r="G60" s="62"/>
      <c r="H60" s="66" t="s">
        <v>1117</v>
      </c>
      <c r="I60" s="67"/>
      <c r="J60" s="67" t="s">
        <v>159</v>
      </c>
      <c r="K60" s="66" t="s">
        <v>1117</v>
      </c>
      <c r="L60" s="70"/>
      <c r="M60" s="71">
        <v>5466.208984375</v>
      </c>
      <c r="N60" s="71">
        <v>7295.61865234375</v>
      </c>
      <c r="O60" s="72"/>
      <c r="P60" s="73"/>
      <c r="Q60" s="73"/>
      <c r="R60" s="94"/>
      <c r="S60" s="45">
        <v>0</v>
      </c>
      <c r="T60" s="45">
        <v>1</v>
      </c>
      <c r="U60" s="46">
        <v>0</v>
      </c>
      <c r="V60" s="46">
        <v>0.031335</v>
      </c>
      <c r="W60" s="46">
        <v>0</v>
      </c>
      <c r="X60" s="46">
        <v>0.002061</v>
      </c>
      <c r="Y60" s="46">
        <v>0</v>
      </c>
      <c r="Z60" s="46">
        <v>0</v>
      </c>
      <c r="AA60" s="68">
        <v>60</v>
      </c>
      <c r="AB60" s="68"/>
      <c r="AC60" s="69"/>
      <c r="AD60" s="83" t="s">
        <v>1117</v>
      </c>
      <c r="AE60" s="83" t="s">
        <v>1946</v>
      </c>
      <c r="AF60" s="83"/>
      <c r="AG60" s="83"/>
      <c r="AH60" s="83"/>
      <c r="AI60" s="83" t="s">
        <v>2138</v>
      </c>
      <c r="AJ60" s="83" t="s">
        <v>2538</v>
      </c>
      <c r="AK60" s="89" t="str">
        <f>HYPERLINK("https://yt3.ggpht.com/ytc/AGIKgqOv7s45kkMKZSA1ccI1bNv97ZxvkULoMxhwEZ7h=s88-c-k-c0x00ffffff-no-rj")</f>
        <v>https://yt3.ggpht.com/ytc/AGIKgqOv7s45kkMKZSA1ccI1bNv97ZxvkULoMxhwEZ7h=s88-c-k-c0x00ffffff-no-rj</v>
      </c>
      <c r="AL60" s="83">
        <v>0</v>
      </c>
      <c r="AM60" s="83">
        <v>0</v>
      </c>
      <c r="AN60" s="83">
        <v>235</v>
      </c>
      <c r="AO60" s="83" t="b">
        <v>0</v>
      </c>
      <c r="AP60" s="83">
        <v>0</v>
      </c>
      <c r="AQ60" s="83"/>
      <c r="AR60" s="83"/>
      <c r="AS60" s="83" t="s">
        <v>2744</v>
      </c>
      <c r="AT60" s="89" t="str">
        <f>HYPERLINK("https://www.youtube.com/channel/UCsyr8XkjlSTpc3VH-7WEjyg")</f>
        <v>https://www.youtube.com/channel/UCsyr8XkjlSTpc3VH-7WEjyg</v>
      </c>
      <c r="AU60" s="83" t="str">
        <f>REPLACE(INDEX(GroupVertices[Group],MATCH(Vertices[[#This Row],[Vertex]],GroupVertices[Vertex],0)),1,1,"")</f>
        <v>4</v>
      </c>
      <c r="AV60" s="45"/>
      <c r="AW60" s="46"/>
      <c r="AX60" s="45"/>
      <c r="AY60" s="46"/>
      <c r="AZ60" s="45"/>
      <c r="BA60" s="46"/>
      <c r="BB60" s="45"/>
      <c r="BC60" s="46"/>
      <c r="BD60" s="45"/>
      <c r="BE60" s="110" t="s">
        <v>1874</v>
      </c>
      <c r="BF60" s="110" t="s">
        <v>1874</v>
      </c>
      <c r="BG60" s="110" t="s">
        <v>1874</v>
      </c>
      <c r="BH60" s="110" t="s">
        <v>1874</v>
      </c>
      <c r="BI60" s="2"/>
    </row>
    <row r="61" spans="1:61" ht="15">
      <c r="A61" s="61" t="s">
        <v>280</v>
      </c>
      <c r="B61" s="62" t="s">
        <v>2893</v>
      </c>
      <c r="C61" s="62"/>
      <c r="D61" s="63">
        <v>100</v>
      </c>
      <c r="E61" s="65">
        <v>50</v>
      </c>
      <c r="F61" s="100" t="str">
        <f>HYPERLINK("https://yt3.ggpht.com/ytc/AGIKgqMPJW81wqLsxS_KdRTZSGd_yski14IJDEwY1p99CA=s88-c-k-c0x00ffffff-no-rj")</f>
        <v>https://yt3.ggpht.com/ytc/AGIKgqMPJW81wqLsxS_KdRTZSGd_yski14IJDEwY1p99CA=s88-c-k-c0x00ffffff-no-rj</v>
      </c>
      <c r="G61" s="62"/>
      <c r="H61" s="66" t="s">
        <v>1118</v>
      </c>
      <c r="I61" s="67"/>
      <c r="J61" s="67" t="s">
        <v>159</v>
      </c>
      <c r="K61" s="66" t="s">
        <v>1118</v>
      </c>
      <c r="L61" s="70"/>
      <c r="M61" s="71">
        <v>6753.31396484375</v>
      </c>
      <c r="N61" s="71">
        <v>7833.95458984375</v>
      </c>
      <c r="O61" s="72"/>
      <c r="P61" s="73"/>
      <c r="Q61" s="73"/>
      <c r="R61" s="94"/>
      <c r="S61" s="45">
        <v>0</v>
      </c>
      <c r="T61" s="45">
        <v>1</v>
      </c>
      <c r="U61" s="46">
        <v>0</v>
      </c>
      <c r="V61" s="46">
        <v>0.031335</v>
      </c>
      <c r="W61" s="46">
        <v>0</v>
      </c>
      <c r="X61" s="46">
        <v>0.002061</v>
      </c>
      <c r="Y61" s="46">
        <v>0</v>
      </c>
      <c r="Z61" s="46">
        <v>0</v>
      </c>
      <c r="AA61" s="68">
        <v>61</v>
      </c>
      <c r="AB61" s="68"/>
      <c r="AC61" s="69"/>
      <c r="AD61" s="83" t="s">
        <v>1118</v>
      </c>
      <c r="AE61" s="83"/>
      <c r="AF61" s="83"/>
      <c r="AG61" s="83"/>
      <c r="AH61" s="83"/>
      <c r="AI61" s="83" t="s">
        <v>2139</v>
      </c>
      <c r="AJ61" s="83" t="s">
        <v>2539</v>
      </c>
      <c r="AK61" s="89" t="str">
        <f>HYPERLINK("https://yt3.ggpht.com/ytc/AGIKgqMPJW81wqLsxS_KdRTZSGd_yski14IJDEwY1p99CA=s88-c-k-c0x00ffffff-no-rj")</f>
        <v>https://yt3.ggpht.com/ytc/AGIKgqMPJW81wqLsxS_KdRTZSGd_yski14IJDEwY1p99CA=s88-c-k-c0x00ffffff-no-rj</v>
      </c>
      <c r="AL61" s="83">
        <v>0</v>
      </c>
      <c r="AM61" s="83">
        <v>0</v>
      </c>
      <c r="AN61" s="83">
        <v>94</v>
      </c>
      <c r="AO61" s="83" t="b">
        <v>0</v>
      </c>
      <c r="AP61" s="83">
        <v>0</v>
      </c>
      <c r="AQ61" s="83"/>
      <c r="AR61" s="83"/>
      <c r="AS61" s="83" t="s">
        <v>2744</v>
      </c>
      <c r="AT61" s="89" t="str">
        <f>HYPERLINK("https://www.youtube.com/channel/UC1a95iE5mPg887BjqnMFdZw")</f>
        <v>https://www.youtube.com/channel/UC1a95iE5mPg887BjqnMFdZw</v>
      </c>
      <c r="AU61" s="83" t="str">
        <f>REPLACE(INDEX(GroupVertices[Group],MATCH(Vertices[[#This Row],[Vertex]],GroupVertices[Vertex],0)),1,1,"")</f>
        <v>4</v>
      </c>
      <c r="AV61" s="45"/>
      <c r="AW61" s="46"/>
      <c r="AX61" s="45"/>
      <c r="AY61" s="46"/>
      <c r="AZ61" s="45"/>
      <c r="BA61" s="46"/>
      <c r="BB61" s="45"/>
      <c r="BC61" s="46"/>
      <c r="BD61" s="45"/>
      <c r="BE61" s="110" t="s">
        <v>1874</v>
      </c>
      <c r="BF61" s="110" t="s">
        <v>1874</v>
      </c>
      <c r="BG61" s="110" t="s">
        <v>1874</v>
      </c>
      <c r="BH61" s="110" t="s">
        <v>1874</v>
      </c>
      <c r="BI61" s="2"/>
    </row>
    <row r="62" spans="1:61" ht="15">
      <c r="A62" s="61" t="s">
        <v>281</v>
      </c>
      <c r="B62" s="62" t="s">
        <v>2893</v>
      </c>
      <c r="C62" s="62"/>
      <c r="D62" s="63">
        <v>100</v>
      </c>
      <c r="E62" s="65">
        <v>50</v>
      </c>
      <c r="F62" s="100" t="str">
        <f>HYPERLINK("https://yt3.ggpht.com/TLjZ4gv5QvIbu5yCXoCmRaPLmM-Zea2D7fFVIkAwCgvNRlVNGZbTa39AUpP0W4Xet3itDhxP=s88-c-k-c0x00ffffff-no-rj")</f>
        <v>https://yt3.ggpht.com/TLjZ4gv5QvIbu5yCXoCmRaPLmM-Zea2D7fFVIkAwCgvNRlVNGZbTa39AUpP0W4Xet3itDhxP=s88-c-k-c0x00ffffff-no-rj</v>
      </c>
      <c r="G62" s="62"/>
      <c r="H62" s="66" t="s">
        <v>1119</v>
      </c>
      <c r="I62" s="67"/>
      <c r="J62" s="67" t="s">
        <v>159</v>
      </c>
      <c r="K62" s="66" t="s">
        <v>1119</v>
      </c>
      <c r="L62" s="70"/>
      <c r="M62" s="71">
        <v>6431.5380859375</v>
      </c>
      <c r="N62" s="71">
        <v>7833.95458984375</v>
      </c>
      <c r="O62" s="72"/>
      <c r="P62" s="73"/>
      <c r="Q62" s="73"/>
      <c r="R62" s="94"/>
      <c r="S62" s="45">
        <v>0</v>
      </c>
      <c r="T62" s="45">
        <v>1</v>
      </c>
      <c r="U62" s="46">
        <v>0</v>
      </c>
      <c r="V62" s="46">
        <v>0.031335</v>
      </c>
      <c r="W62" s="46">
        <v>0</v>
      </c>
      <c r="X62" s="46">
        <v>0.002061</v>
      </c>
      <c r="Y62" s="46">
        <v>0</v>
      </c>
      <c r="Z62" s="46">
        <v>0</v>
      </c>
      <c r="AA62" s="68">
        <v>62</v>
      </c>
      <c r="AB62" s="68"/>
      <c r="AC62" s="69"/>
      <c r="AD62" s="83" t="s">
        <v>1119</v>
      </c>
      <c r="AE62" s="83">
        <v>2020</v>
      </c>
      <c r="AF62" s="83"/>
      <c r="AG62" s="83"/>
      <c r="AH62" s="83"/>
      <c r="AI62" s="83" t="s">
        <v>2140</v>
      </c>
      <c r="AJ62" s="92">
        <v>43894.566828703704</v>
      </c>
      <c r="AK62" s="89" t="str">
        <f>HYPERLINK("https://yt3.ggpht.com/TLjZ4gv5QvIbu5yCXoCmRaPLmM-Zea2D7fFVIkAwCgvNRlVNGZbTa39AUpP0W4Xet3itDhxP=s88-c-k-c0x00ffffff-no-rj")</f>
        <v>https://yt3.ggpht.com/TLjZ4gv5QvIbu5yCXoCmRaPLmM-Zea2D7fFVIkAwCgvNRlVNGZbTa39AUpP0W4Xet3itDhxP=s88-c-k-c0x00ffffff-no-rj</v>
      </c>
      <c r="AL62" s="83">
        <v>0</v>
      </c>
      <c r="AM62" s="83">
        <v>0</v>
      </c>
      <c r="AN62" s="83">
        <v>5</v>
      </c>
      <c r="AO62" s="83" t="b">
        <v>0</v>
      </c>
      <c r="AP62" s="83">
        <v>0</v>
      </c>
      <c r="AQ62" s="83"/>
      <c r="AR62" s="83"/>
      <c r="AS62" s="83" t="s">
        <v>2744</v>
      </c>
      <c r="AT62" s="89" t="str">
        <f>HYPERLINK("https://www.youtube.com/channel/UCDiU_lBNmxqRSRbFOqFnLwA")</f>
        <v>https://www.youtube.com/channel/UCDiU_lBNmxqRSRbFOqFnLwA</v>
      </c>
      <c r="AU62" s="83" t="str">
        <f>REPLACE(INDEX(GroupVertices[Group],MATCH(Vertices[[#This Row],[Vertex]],GroupVertices[Vertex],0)),1,1,"")</f>
        <v>4</v>
      </c>
      <c r="AV62" s="45"/>
      <c r="AW62" s="46"/>
      <c r="AX62" s="45"/>
      <c r="AY62" s="46"/>
      <c r="AZ62" s="45"/>
      <c r="BA62" s="46"/>
      <c r="BB62" s="45"/>
      <c r="BC62" s="46"/>
      <c r="BD62" s="45"/>
      <c r="BE62" s="110" t="s">
        <v>1874</v>
      </c>
      <c r="BF62" s="110" t="s">
        <v>1874</v>
      </c>
      <c r="BG62" s="110" t="s">
        <v>1874</v>
      </c>
      <c r="BH62" s="110" t="s">
        <v>1874</v>
      </c>
      <c r="BI62" s="2"/>
    </row>
    <row r="63" spans="1:61" ht="15">
      <c r="A63" s="61" t="s">
        <v>282</v>
      </c>
      <c r="B63" s="62" t="s">
        <v>2893</v>
      </c>
      <c r="C63" s="62"/>
      <c r="D63" s="63">
        <v>100</v>
      </c>
      <c r="E63" s="65">
        <v>50</v>
      </c>
      <c r="F63" s="100" t="str">
        <f>HYPERLINK("https://yt3.ggpht.com/ytc/AGIKgqPxu7KSChTPhIq5Zz0nOTHt6sMDOZDQBVuQeqkyeA=s88-c-k-c0x00ffffff-no-rj")</f>
        <v>https://yt3.ggpht.com/ytc/AGIKgqPxu7KSChTPhIq5Zz0nOTHt6sMDOZDQBVuQeqkyeA=s88-c-k-c0x00ffffff-no-rj</v>
      </c>
      <c r="G63" s="62"/>
      <c r="H63" s="66" t="s">
        <v>1120</v>
      </c>
      <c r="I63" s="67"/>
      <c r="J63" s="67" t="s">
        <v>159</v>
      </c>
      <c r="K63" s="66" t="s">
        <v>1120</v>
      </c>
      <c r="L63" s="70"/>
      <c r="M63" s="71">
        <v>6109.76123046875</v>
      </c>
      <c r="N63" s="71">
        <v>7833.95458984375</v>
      </c>
      <c r="O63" s="72"/>
      <c r="P63" s="73"/>
      <c r="Q63" s="73"/>
      <c r="R63" s="94"/>
      <c r="S63" s="45">
        <v>0</v>
      </c>
      <c r="T63" s="45">
        <v>1</v>
      </c>
      <c r="U63" s="46">
        <v>0</v>
      </c>
      <c r="V63" s="46">
        <v>0.031335</v>
      </c>
      <c r="W63" s="46">
        <v>0</v>
      </c>
      <c r="X63" s="46">
        <v>0.002061</v>
      </c>
      <c r="Y63" s="46">
        <v>0</v>
      </c>
      <c r="Z63" s="46">
        <v>0</v>
      </c>
      <c r="AA63" s="68">
        <v>63</v>
      </c>
      <c r="AB63" s="68"/>
      <c r="AC63" s="69"/>
      <c r="AD63" s="83" t="s">
        <v>1120</v>
      </c>
      <c r="AE63" s="83" t="s">
        <v>1947</v>
      </c>
      <c r="AF63" s="83"/>
      <c r="AG63" s="83"/>
      <c r="AH63" s="83"/>
      <c r="AI63" s="83" t="s">
        <v>2141</v>
      </c>
      <c r="AJ63" s="83" t="s">
        <v>2540</v>
      </c>
      <c r="AK63" s="89" t="str">
        <f>HYPERLINK("https://yt3.ggpht.com/ytc/AGIKgqPxu7KSChTPhIq5Zz0nOTHt6sMDOZDQBVuQeqkyeA=s88-c-k-c0x00ffffff-no-rj")</f>
        <v>https://yt3.ggpht.com/ytc/AGIKgqPxu7KSChTPhIq5Zz0nOTHt6sMDOZDQBVuQeqkyeA=s88-c-k-c0x00ffffff-no-rj</v>
      </c>
      <c r="AL63" s="83">
        <v>148396</v>
      </c>
      <c r="AM63" s="83">
        <v>0</v>
      </c>
      <c r="AN63" s="83">
        <v>528</v>
      </c>
      <c r="AO63" s="83" t="b">
        <v>0</v>
      </c>
      <c r="AP63" s="83">
        <v>1270</v>
      </c>
      <c r="AQ63" s="83"/>
      <c r="AR63" s="83"/>
      <c r="AS63" s="83" t="s">
        <v>2744</v>
      </c>
      <c r="AT63" s="89" t="str">
        <f>HYPERLINK("https://www.youtube.com/channel/UCk0gbacQnNze9OWsyJS-RpA")</f>
        <v>https://www.youtube.com/channel/UCk0gbacQnNze9OWsyJS-RpA</v>
      </c>
      <c r="AU63" s="83" t="str">
        <f>REPLACE(INDEX(GroupVertices[Group],MATCH(Vertices[[#This Row],[Vertex]],GroupVertices[Vertex],0)),1,1,"")</f>
        <v>4</v>
      </c>
      <c r="AV63" s="45"/>
      <c r="AW63" s="46"/>
      <c r="AX63" s="45"/>
      <c r="AY63" s="46"/>
      <c r="AZ63" s="45"/>
      <c r="BA63" s="46"/>
      <c r="BB63" s="45"/>
      <c r="BC63" s="46"/>
      <c r="BD63" s="45"/>
      <c r="BE63" s="110" t="s">
        <v>1874</v>
      </c>
      <c r="BF63" s="110" t="s">
        <v>1874</v>
      </c>
      <c r="BG63" s="110" t="s">
        <v>1874</v>
      </c>
      <c r="BH63" s="110" t="s">
        <v>1874</v>
      </c>
      <c r="BI63" s="2"/>
    </row>
    <row r="64" spans="1:61" ht="15">
      <c r="A64" s="61" t="s">
        <v>283</v>
      </c>
      <c r="B64" s="62" t="s">
        <v>2893</v>
      </c>
      <c r="C64" s="62"/>
      <c r="D64" s="63">
        <v>100</v>
      </c>
      <c r="E64" s="65">
        <v>50</v>
      </c>
      <c r="F64" s="100" t="str">
        <f>HYPERLINK("https://yt3.ggpht.com/lvDxRYezFDP9RG1-1XMCWneUDUsA6VuCuVWkY7q1YxFANC4hqGm6UHug7erh7gsM4dzAi9JT=s88-c-k-c0x00ffffff-no-rj")</f>
        <v>https://yt3.ggpht.com/lvDxRYezFDP9RG1-1XMCWneUDUsA6VuCuVWkY7q1YxFANC4hqGm6UHug7erh7gsM4dzAi9JT=s88-c-k-c0x00ffffff-no-rj</v>
      </c>
      <c r="G64" s="62"/>
      <c r="H64" s="66" t="s">
        <v>1121</v>
      </c>
      <c r="I64" s="67"/>
      <c r="J64" s="67" t="s">
        <v>159</v>
      </c>
      <c r="K64" s="66" t="s">
        <v>1121</v>
      </c>
      <c r="L64" s="70"/>
      <c r="M64" s="71">
        <v>5787.98486328125</v>
      </c>
      <c r="N64" s="71">
        <v>7833.95458984375</v>
      </c>
      <c r="O64" s="72"/>
      <c r="P64" s="73"/>
      <c r="Q64" s="73"/>
      <c r="R64" s="94"/>
      <c r="S64" s="45">
        <v>0</v>
      </c>
      <c r="T64" s="45">
        <v>1</v>
      </c>
      <c r="U64" s="46">
        <v>0</v>
      </c>
      <c r="V64" s="46">
        <v>0.031335</v>
      </c>
      <c r="W64" s="46">
        <v>0</v>
      </c>
      <c r="X64" s="46">
        <v>0.002061</v>
      </c>
      <c r="Y64" s="46">
        <v>0</v>
      </c>
      <c r="Z64" s="46">
        <v>0</v>
      </c>
      <c r="AA64" s="68">
        <v>64</v>
      </c>
      <c r="AB64" s="68"/>
      <c r="AC64" s="69"/>
      <c r="AD64" s="83" t="s">
        <v>1121</v>
      </c>
      <c r="AE64" s="83"/>
      <c r="AF64" s="83"/>
      <c r="AG64" s="83"/>
      <c r="AH64" s="83"/>
      <c r="AI64" s="83" t="s">
        <v>2142</v>
      </c>
      <c r="AJ64" s="83" t="s">
        <v>2541</v>
      </c>
      <c r="AK64" s="89" t="str">
        <f>HYPERLINK("https://yt3.ggpht.com/lvDxRYezFDP9RG1-1XMCWneUDUsA6VuCuVWkY7q1YxFANC4hqGm6UHug7erh7gsM4dzAi9JT=s88-c-k-c0x00ffffff-no-rj")</f>
        <v>https://yt3.ggpht.com/lvDxRYezFDP9RG1-1XMCWneUDUsA6VuCuVWkY7q1YxFANC4hqGm6UHug7erh7gsM4dzAi9JT=s88-c-k-c0x00ffffff-no-rj</v>
      </c>
      <c r="AL64" s="83">
        <v>537</v>
      </c>
      <c r="AM64" s="83">
        <v>0</v>
      </c>
      <c r="AN64" s="83">
        <v>34</v>
      </c>
      <c r="AO64" s="83" t="b">
        <v>0</v>
      </c>
      <c r="AP64" s="83">
        <v>2</v>
      </c>
      <c r="AQ64" s="83"/>
      <c r="AR64" s="83"/>
      <c r="AS64" s="83" t="s">
        <v>2744</v>
      </c>
      <c r="AT64" s="89" t="str">
        <f>HYPERLINK("https://www.youtube.com/channel/UCavsA-EWpoXsgT6tG7C5msg")</f>
        <v>https://www.youtube.com/channel/UCavsA-EWpoXsgT6tG7C5msg</v>
      </c>
      <c r="AU64" s="83" t="str">
        <f>REPLACE(INDEX(GroupVertices[Group],MATCH(Vertices[[#This Row],[Vertex]],GroupVertices[Vertex],0)),1,1,"")</f>
        <v>4</v>
      </c>
      <c r="AV64" s="45"/>
      <c r="AW64" s="46"/>
      <c r="AX64" s="45"/>
      <c r="AY64" s="46"/>
      <c r="AZ64" s="45"/>
      <c r="BA64" s="46"/>
      <c r="BB64" s="45"/>
      <c r="BC64" s="46"/>
      <c r="BD64" s="45"/>
      <c r="BE64" s="110" t="s">
        <v>1874</v>
      </c>
      <c r="BF64" s="110" t="s">
        <v>1874</v>
      </c>
      <c r="BG64" s="110" t="s">
        <v>1874</v>
      </c>
      <c r="BH64" s="110" t="s">
        <v>1874</v>
      </c>
      <c r="BI64" s="2"/>
    </row>
    <row r="65" spans="1:61" ht="15">
      <c r="A65" s="61" t="s">
        <v>284</v>
      </c>
      <c r="B65" s="62" t="s">
        <v>2893</v>
      </c>
      <c r="C65" s="62"/>
      <c r="D65" s="63">
        <v>100</v>
      </c>
      <c r="E65" s="65">
        <v>50</v>
      </c>
      <c r="F65" s="100" t="str">
        <f>HYPERLINK("https://yt3.ggpht.com/ytc/AGIKgqPB6oY3GDBZ5WWm3W74QKVHfPERG-UQwLgoQBxQ_Q=s88-c-k-c0x00ffffff-no-rj")</f>
        <v>https://yt3.ggpht.com/ytc/AGIKgqPB6oY3GDBZ5WWm3W74QKVHfPERG-UQwLgoQBxQ_Q=s88-c-k-c0x00ffffff-no-rj</v>
      </c>
      <c r="G65" s="62"/>
      <c r="H65" s="66" t="s">
        <v>1122</v>
      </c>
      <c r="I65" s="67"/>
      <c r="J65" s="67" t="s">
        <v>159</v>
      </c>
      <c r="K65" s="66" t="s">
        <v>1122</v>
      </c>
      <c r="L65" s="70"/>
      <c r="M65" s="71">
        <v>5466.208984375</v>
      </c>
      <c r="N65" s="71">
        <v>7833.95458984375</v>
      </c>
      <c r="O65" s="72"/>
      <c r="P65" s="73"/>
      <c r="Q65" s="73"/>
      <c r="R65" s="94"/>
      <c r="S65" s="45">
        <v>0</v>
      </c>
      <c r="T65" s="45">
        <v>1</v>
      </c>
      <c r="U65" s="46">
        <v>0</v>
      </c>
      <c r="V65" s="46">
        <v>0.031335</v>
      </c>
      <c r="W65" s="46">
        <v>0</v>
      </c>
      <c r="X65" s="46">
        <v>0.002061</v>
      </c>
      <c r="Y65" s="46">
        <v>0</v>
      </c>
      <c r="Z65" s="46">
        <v>0</v>
      </c>
      <c r="AA65" s="68">
        <v>65</v>
      </c>
      <c r="AB65" s="68"/>
      <c r="AC65" s="69"/>
      <c r="AD65" s="83" t="s">
        <v>1122</v>
      </c>
      <c r="AE65" s="83"/>
      <c r="AF65" s="83"/>
      <c r="AG65" s="83"/>
      <c r="AH65" s="83"/>
      <c r="AI65" s="83" t="s">
        <v>2143</v>
      </c>
      <c r="AJ65" s="83" t="s">
        <v>2542</v>
      </c>
      <c r="AK65" s="89" t="str">
        <f>HYPERLINK("https://yt3.ggpht.com/ytc/AGIKgqPB6oY3GDBZ5WWm3W74QKVHfPERG-UQwLgoQBxQ_Q=s88-c-k-c0x00ffffff-no-rj")</f>
        <v>https://yt3.ggpht.com/ytc/AGIKgqPB6oY3GDBZ5WWm3W74QKVHfPERG-UQwLgoQBxQ_Q=s88-c-k-c0x00ffffff-no-rj</v>
      </c>
      <c r="AL65" s="83">
        <v>0</v>
      </c>
      <c r="AM65" s="83">
        <v>0</v>
      </c>
      <c r="AN65" s="83">
        <v>256</v>
      </c>
      <c r="AO65" s="83" t="b">
        <v>0</v>
      </c>
      <c r="AP65" s="83">
        <v>0</v>
      </c>
      <c r="AQ65" s="83"/>
      <c r="AR65" s="83"/>
      <c r="AS65" s="83" t="s">
        <v>2744</v>
      </c>
      <c r="AT65" s="89" t="str">
        <f>HYPERLINK("https://www.youtube.com/channel/UCA7-CAF-3M2q2BoR-HulA7A")</f>
        <v>https://www.youtube.com/channel/UCA7-CAF-3M2q2BoR-HulA7A</v>
      </c>
      <c r="AU65" s="83" t="str">
        <f>REPLACE(INDEX(GroupVertices[Group],MATCH(Vertices[[#This Row],[Vertex]],GroupVertices[Vertex],0)),1,1,"")</f>
        <v>4</v>
      </c>
      <c r="AV65" s="45"/>
      <c r="AW65" s="46"/>
      <c r="AX65" s="45"/>
      <c r="AY65" s="46"/>
      <c r="AZ65" s="45"/>
      <c r="BA65" s="46"/>
      <c r="BB65" s="45"/>
      <c r="BC65" s="46"/>
      <c r="BD65" s="45"/>
      <c r="BE65" s="110" t="s">
        <v>1874</v>
      </c>
      <c r="BF65" s="110" t="s">
        <v>1874</v>
      </c>
      <c r="BG65" s="110" t="s">
        <v>1874</v>
      </c>
      <c r="BH65" s="110" t="s">
        <v>1874</v>
      </c>
      <c r="BI65" s="2"/>
    </row>
    <row r="66" spans="1:61" ht="15">
      <c r="A66" s="61" t="s">
        <v>285</v>
      </c>
      <c r="B66" s="62" t="s">
        <v>2893</v>
      </c>
      <c r="C66" s="62"/>
      <c r="D66" s="63">
        <v>100</v>
      </c>
      <c r="E66" s="65">
        <v>50</v>
      </c>
      <c r="F66" s="100" t="str">
        <f>HYPERLINK("https://yt3.ggpht.com/ABAD3pg41T-FF-_RccEivuSXW0LYKPVjJ3MXtyCVYfLGreRHGQ5f6OhqRx5Yb_LkY-2JWnE=s88-c-k-c0x00ffffff-no-rj")</f>
        <v>https://yt3.ggpht.com/ABAD3pg41T-FF-_RccEivuSXW0LYKPVjJ3MXtyCVYfLGreRHGQ5f6OhqRx5Yb_LkY-2JWnE=s88-c-k-c0x00ffffff-no-rj</v>
      </c>
      <c r="G66" s="62"/>
      <c r="H66" s="66" t="s">
        <v>1123</v>
      </c>
      <c r="I66" s="67"/>
      <c r="J66" s="67" t="s">
        <v>159</v>
      </c>
      <c r="K66" s="66" t="s">
        <v>1123</v>
      </c>
      <c r="L66" s="70"/>
      <c r="M66" s="71">
        <v>6753.31396484375</v>
      </c>
      <c r="N66" s="71">
        <v>8372.2900390625</v>
      </c>
      <c r="O66" s="72"/>
      <c r="P66" s="73"/>
      <c r="Q66" s="73"/>
      <c r="R66" s="94"/>
      <c r="S66" s="45">
        <v>0</v>
      </c>
      <c r="T66" s="45">
        <v>1</v>
      </c>
      <c r="U66" s="46">
        <v>0</v>
      </c>
      <c r="V66" s="46">
        <v>0.031335</v>
      </c>
      <c r="W66" s="46">
        <v>0</v>
      </c>
      <c r="X66" s="46">
        <v>0.002061</v>
      </c>
      <c r="Y66" s="46">
        <v>0</v>
      </c>
      <c r="Z66" s="46">
        <v>0</v>
      </c>
      <c r="AA66" s="68">
        <v>66</v>
      </c>
      <c r="AB66" s="68"/>
      <c r="AC66" s="69"/>
      <c r="AD66" s="83" t="s">
        <v>1123</v>
      </c>
      <c r="AE66" s="83"/>
      <c r="AF66" s="83"/>
      <c r="AG66" s="83"/>
      <c r="AH66" s="83"/>
      <c r="AI66" s="83" t="s">
        <v>2144</v>
      </c>
      <c r="AJ66" s="83" t="s">
        <v>2543</v>
      </c>
      <c r="AK66" s="89" t="str">
        <f>HYPERLINK("https://yt3.ggpht.com/ABAD3pg41T-FF-_RccEivuSXW0LYKPVjJ3MXtyCVYfLGreRHGQ5f6OhqRx5Yb_LkY-2JWnE=s88-c-k-c0x00ffffff-no-rj")</f>
        <v>https://yt3.ggpht.com/ABAD3pg41T-FF-_RccEivuSXW0LYKPVjJ3MXtyCVYfLGreRHGQ5f6OhqRx5Yb_LkY-2JWnE=s88-c-k-c0x00ffffff-no-rj</v>
      </c>
      <c r="AL66" s="83">
        <v>0</v>
      </c>
      <c r="AM66" s="83">
        <v>0</v>
      </c>
      <c r="AN66" s="83">
        <v>6</v>
      </c>
      <c r="AO66" s="83" t="b">
        <v>0</v>
      </c>
      <c r="AP66" s="83">
        <v>0</v>
      </c>
      <c r="AQ66" s="83"/>
      <c r="AR66" s="83"/>
      <c r="AS66" s="83" t="s">
        <v>2744</v>
      </c>
      <c r="AT66" s="89" t="str">
        <f>HYPERLINK("https://www.youtube.com/channel/UCoy72i44cGE_0uglc0FXLGA")</f>
        <v>https://www.youtube.com/channel/UCoy72i44cGE_0uglc0FXLGA</v>
      </c>
      <c r="AU66" s="83" t="str">
        <f>REPLACE(INDEX(GroupVertices[Group],MATCH(Vertices[[#This Row],[Vertex]],GroupVertices[Vertex],0)),1,1,"")</f>
        <v>4</v>
      </c>
      <c r="AV66" s="45"/>
      <c r="AW66" s="46"/>
      <c r="AX66" s="45"/>
      <c r="AY66" s="46"/>
      <c r="AZ66" s="45"/>
      <c r="BA66" s="46"/>
      <c r="BB66" s="45"/>
      <c r="BC66" s="46"/>
      <c r="BD66" s="45"/>
      <c r="BE66" s="110" t="s">
        <v>1874</v>
      </c>
      <c r="BF66" s="110" t="s">
        <v>1874</v>
      </c>
      <c r="BG66" s="110" t="s">
        <v>1874</v>
      </c>
      <c r="BH66" s="110" t="s">
        <v>1874</v>
      </c>
      <c r="BI66" s="2"/>
    </row>
    <row r="67" spans="1:61" ht="15">
      <c r="A67" s="61" t="s">
        <v>286</v>
      </c>
      <c r="B67" s="62" t="s">
        <v>2893</v>
      </c>
      <c r="C67" s="62"/>
      <c r="D67" s="63">
        <v>100</v>
      </c>
      <c r="E67" s="65">
        <v>50</v>
      </c>
      <c r="F67" s="100" t="str">
        <f>HYPERLINK("https://yt3.ggpht.com/ytc/AGIKgqO7VtliqO068ii775xOmmFM8GjPpsMMoQChC5kV9w=s88-c-k-c0x00ffffff-no-rj")</f>
        <v>https://yt3.ggpht.com/ytc/AGIKgqO7VtliqO068ii775xOmmFM8GjPpsMMoQChC5kV9w=s88-c-k-c0x00ffffff-no-rj</v>
      </c>
      <c r="G67" s="62"/>
      <c r="H67" s="66" t="s">
        <v>1124</v>
      </c>
      <c r="I67" s="67"/>
      <c r="J67" s="67" t="s">
        <v>159</v>
      </c>
      <c r="K67" s="66" t="s">
        <v>1124</v>
      </c>
      <c r="L67" s="70"/>
      <c r="M67" s="71">
        <v>6431.5380859375</v>
      </c>
      <c r="N67" s="71">
        <v>8372.2900390625</v>
      </c>
      <c r="O67" s="72"/>
      <c r="P67" s="73"/>
      <c r="Q67" s="73"/>
      <c r="R67" s="94"/>
      <c r="S67" s="45">
        <v>0</v>
      </c>
      <c r="T67" s="45">
        <v>1</v>
      </c>
      <c r="U67" s="46">
        <v>0</v>
      </c>
      <c r="V67" s="46">
        <v>0.031335</v>
      </c>
      <c r="W67" s="46">
        <v>0</v>
      </c>
      <c r="X67" s="46">
        <v>0.002061</v>
      </c>
      <c r="Y67" s="46">
        <v>0</v>
      </c>
      <c r="Z67" s="46">
        <v>0</v>
      </c>
      <c r="AA67" s="68">
        <v>67</v>
      </c>
      <c r="AB67" s="68"/>
      <c r="AC67" s="69"/>
      <c r="AD67" s="83" t="s">
        <v>1124</v>
      </c>
      <c r="AE67" s="83" t="s">
        <v>1948</v>
      </c>
      <c r="AF67" s="83"/>
      <c r="AG67" s="83"/>
      <c r="AH67" s="83"/>
      <c r="AI67" s="83" t="s">
        <v>2145</v>
      </c>
      <c r="AJ67" s="83" t="s">
        <v>2544</v>
      </c>
      <c r="AK67" s="89" t="str">
        <f>HYPERLINK("https://yt3.ggpht.com/ytc/AGIKgqO7VtliqO068ii775xOmmFM8GjPpsMMoQChC5kV9w=s88-c-k-c0x00ffffff-no-rj")</f>
        <v>https://yt3.ggpht.com/ytc/AGIKgqO7VtliqO068ii775xOmmFM8GjPpsMMoQChC5kV9w=s88-c-k-c0x00ffffff-no-rj</v>
      </c>
      <c r="AL67" s="83">
        <v>134</v>
      </c>
      <c r="AM67" s="83">
        <v>0</v>
      </c>
      <c r="AN67" s="83">
        <v>27</v>
      </c>
      <c r="AO67" s="83" t="b">
        <v>0</v>
      </c>
      <c r="AP67" s="83">
        <v>1</v>
      </c>
      <c r="AQ67" s="83"/>
      <c r="AR67" s="83"/>
      <c r="AS67" s="83" t="s">
        <v>2744</v>
      </c>
      <c r="AT67" s="89" t="str">
        <f>HYPERLINK("https://www.youtube.com/channel/UCtlCxUfwi1QLqvlxpzNAckA")</f>
        <v>https://www.youtube.com/channel/UCtlCxUfwi1QLqvlxpzNAckA</v>
      </c>
      <c r="AU67" s="83" t="str">
        <f>REPLACE(INDEX(GroupVertices[Group],MATCH(Vertices[[#This Row],[Vertex]],GroupVertices[Vertex],0)),1,1,"")</f>
        <v>4</v>
      </c>
      <c r="AV67" s="45"/>
      <c r="AW67" s="46"/>
      <c r="AX67" s="45"/>
      <c r="AY67" s="46"/>
      <c r="AZ67" s="45"/>
      <c r="BA67" s="46"/>
      <c r="BB67" s="45"/>
      <c r="BC67" s="46"/>
      <c r="BD67" s="45"/>
      <c r="BE67" s="110" t="s">
        <v>1874</v>
      </c>
      <c r="BF67" s="110" t="s">
        <v>1874</v>
      </c>
      <c r="BG67" s="110" t="s">
        <v>1874</v>
      </c>
      <c r="BH67" s="110" t="s">
        <v>1874</v>
      </c>
      <c r="BI67" s="2"/>
    </row>
    <row r="68" spans="1:61" ht="15">
      <c r="A68" s="61" t="s">
        <v>287</v>
      </c>
      <c r="B68" s="62" t="s">
        <v>2893</v>
      </c>
      <c r="C68" s="62"/>
      <c r="D68" s="63">
        <v>100</v>
      </c>
      <c r="E68" s="65">
        <v>50</v>
      </c>
      <c r="F68" s="100" t="str">
        <f>HYPERLINK("https://yt3.ggpht.com/fhjhFetfkpVT0F9V9QFdvhPk9pYMmZOXWY7V-HaqmMoMtzfBWhtKIfPbCqcd90WESDEKQJ7JbA=s88-c-k-c0x00ffffff-no-rj")</f>
        <v>https://yt3.ggpht.com/fhjhFetfkpVT0F9V9QFdvhPk9pYMmZOXWY7V-HaqmMoMtzfBWhtKIfPbCqcd90WESDEKQJ7JbA=s88-c-k-c0x00ffffff-no-rj</v>
      </c>
      <c r="G68" s="62"/>
      <c r="H68" s="66" t="s">
        <v>1125</v>
      </c>
      <c r="I68" s="67"/>
      <c r="J68" s="67" t="s">
        <v>159</v>
      </c>
      <c r="K68" s="66" t="s">
        <v>1125</v>
      </c>
      <c r="L68" s="70"/>
      <c r="M68" s="71">
        <v>6109.76123046875</v>
      </c>
      <c r="N68" s="71">
        <v>8372.2900390625</v>
      </c>
      <c r="O68" s="72"/>
      <c r="P68" s="73"/>
      <c r="Q68" s="73"/>
      <c r="R68" s="94"/>
      <c r="S68" s="45">
        <v>0</v>
      </c>
      <c r="T68" s="45">
        <v>1</v>
      </c>
      <c r="U68" s="46">
        <v>0</v>
      </c>
      <c r="V68" s="46">
        <v>0.031335</v>
      </c>
      <c r="W68" s="46">
        <v>0</v>
      </c>
      <c r="X68" s="46">
        <v>0.002061</v>
      </c>
      <c r="Y68" s="46">
        <v>0</v>
      </c>
      <c r="Z68" s="46">
        <v>0</v>
      </c>
      <c r="AA68" s="68">
        <v>68</v>
      </c>
      <c r="AB68" s="68"/>
      <c r="AC68" s="69"/>
      <c r="AD68" s="83" t="s">
        <v>1125</v>
      </c>
      <c r="AE68" s="83"/>
      <c r="AF68" s="83"/>
      <c r="AG68" s="83"/>
      <c r="AH68" s="83"/>
      <c r="AI68" s="83" t="s">
        <v>2146</v>
      </c>
      <c r="AJ68" s="83" t="s">
        <v>2545</v>
      </c>
      <c r="AK68" s="89" t="str">
        <f>HYPERLINK("https://yt3.ggpht.com/fhjhFetfkpVT0F9V9QFdvhPk9pYMmZOXWY7V-HaqmMoMtzfBWhtKIfPbCqcd90WESDEKQJ7JbA=s88-c-k-c0x00ffffff-no-rj")</f>
        <v>https://yt3.ggpht.com/fhjhFetfkpVT0F9V9QFdvhPk9pYMmZOXWY7V-HaqmMoMtzfBWhtKIfPbCqcd90WESDEKQJ7JbA=s88-c-k-c0x00ffffff-no-rj</v>
      </c>
      <c r="AL68" s="83">
        <v>0</v>
      </c>
      <c r="AM68" s="83">
        <v>0</v>
      </c>
      <c r="AN68" s="83">
        <v>2</v>
      </c>
      <c r="AO68" s="83" t="b">
        <v>0</v>
      </c>
      <c r="AP68" s="83">
        <v>0</v>
      </c>
      <c r="AQ68" s="83"/>
      <c r="AR68" s="83"/>
      <c r="AS68" s="83" t="s">
        <v>2744</v>
      </c>
      <c r="AT68" s="89" t="str">
        <f>HYPERLINK("https://www.youtube.com/channel/UCAgZ0RM8PeKgZZifulZGL6g")</f>
        <v>https://www.youtube.com/channel/UCAgZ0RM8PeKgZZifulZGL6g</v>
      </c>
      <c r="AU68" s="83" t="str">
        <f>REPLACE(INDEX(GroupVertices[Group],MATCH(Vertices[[#This Row],[Vertex]],GroupVertices[Vertex],0)),1,1,"")</f>
        <v>4</v>
      </c>
      <c r="AV68" s="45"/>
      <c r="AW68" s="46"/>
      <c r="AX68" s="45"/>
      <c r="AY68" s="46"/>
      <c r="AZ68" s="45"/>
      <c r="BA68" s="46"/>
      <c r="BB68" s="45"/>
      <c r="BC68" s="46"/>
      <c r="BD68" s="45"/>
      <c r="BE68" s="110" t="s">
        <v>1874</v>
      </c>
      <c r="BF68" s="110" t="s">
        <v>1874</v>
      </c>
      <c r="BG68" s="110" t="s">
        <v>1874</v>
      </c>
      <c r="BH68" s="110" t="s">
        <v>1874</v>
      </c>
      <c r="BI68" s="2"/>
    </row>
    <row r="69" spans="1:61" ht="15">
      <c r="A69" s="61" t="s">
        <v>288</v>
      </c>
      <c r="B69" s="62" t="s">
        <v>2893</v>
      </c>
      <c r="C69" s="62"/>
      <c r="D69" s="63">
        <v>100</v>
      </c>
      <c r="E69" s="65">
        <v>50</v>
      </c>
      <c r="F69" s="100" t="str">
        <f>HYPERLINK("https://yt3.ggpht.com/ytc/AGIKgqMupUQHssVOPmBsaduxhDIBT9FD7xG_1kwTuw=s88-c-k-c0x00ffffff-no-rj")</f>
        <v>https://yt3.ggpht.com/ytc/AGIKgqMupUQHssVOPmBsaduxhDIBT9FD7xG_1kwTuw=s88-c-k-c0x00ffffff-no-rj</v>
      </c>
      <c r="G69" s="62"/>
      <c r="H69" s="66" t="s">
        <v>1126</v>
      </c>
      <c r="I69" s="67"/>
      <c r="J69" s="67" t="s">
        <v>159</v>
      </c>
      <c r="K69" s="66" t="s">
        <v>1126</v>
      </c>
      <c r="L69" s="70"/>
      <c r="M69" s="71">
        <v>5787.98486328125</v>
      </c>
      <c r="N69" s="71">
        <v>8372.2900390625</v>
      </c>
      <c r="O69" s="72"/>
      <c r="P69" s="73"/>
      <c r="Q69" s="73"/>
      <c r="R69" s="94"/>
      <c r="S69" s="45">
        <v>0</v>
      </c>
      <c r="T69" s="45">
        <v>1</v>
      </c>
      <c r="U69" s="46">
        <v>0</v>
      </c>
      <c r="V69" s="46">
        <v>0.031335</v>
      </c>
      <c r="W69" s="46">
        <v>0</v>
      </c>
      <c r="X69" s="46">
        <v>0.002061</v>
      </c>
      <c r="Y69" s="46">
        <v>0</v>
      </c>
      <c r="Z69" s="46">
        <v>0</v>
      </c>
      <c r="AA69" s="68">
        <v>69</v>
      </c>
      <c r="AB69" s="68"/>
      <c r="AC69" s="69"/>
      <c r="AD69" s="83" t="s">
        <v>1126</v>
      </c>
      <c r="AE69" s="83"/>
      <c r="AF69" s="83"/>
      <c r="AG69" s="83"/>
      <c r="AH69" s="83"/>
      <c r="AI69" s="83" t="s">
        <v>2147</v>
      </c>
      <c r="AJ69" s="83" t="s">
        <v>2546</v>
      </c>
      <c r="AK69" s="89" t="str">
        <f>HYPERLINK("https://yt3.ggpht.com/ytc/AGIKgqMupUQHssVOPmBsaduxhDIBT9FD7xG_1kwTuw=s88-c-k-c0x00ffffff-no-rj")</f>
        <v>https://yt3.ggpht.com/ytc/AGIKgqMupUQHssVOPmBsaduxhDIBT9FD7xG_1kwTuw=s88-c-k-c0x00ffffff-no-rj</v>
      </c>
      <c r="AL69" s="83">
        <v>0</v>
      </c>
      <c r="AM69" s="83">
        <v>0</v>
      </c>
      <c r="AN69" s="83">
        <v>1</v>
      </c>
      <c r="AO69" s="83" t="b">
        <v>0</v>
      </c>
      <c r="AP69" s="83">
        <v>0</v>
      </c>
      <c r="AQ69" s="83"/>
      <c r="AR69" s="83"/>
      <c r="AS69" s="83" t="s">
        <v>2744</v>
      </c>
      <c r="AT69" s="89" t="str">
        <f>HYPERLINK("https://www.youtube.com/channel/UCmnFIlbqVbLGPjZCoXj4oJg")</f>
        <v>https://www.youtube.com/channel/UCmnFIlbqVbLGPjZCoXj4oJg</v>
      </c>
      <c r="AU69" s="83" t="str">
        <f>REPLACE(INDEX(GroupVertices[Group],MATCH(Vertices[[#This Row],[Vertex]],GroupVertices[Vertex],0)),1,1,"")</f>
        <v>4</v>
      </c>
      <c r="AV69" s="45"/>
      <c r="AW69" s="46"/>
      <c r="AX69" s="45"/>
      <c r="AY69" s="46"/>
      <c r="AZ69" s="45"/>
      <c r="BA69" s="46"/>
      <c r="BB69" s="45"/>
      <c r="BC69" s="46"/>
      <c r="BD69" s="45"/>
      <c r="BE69" s="110" t="s">
        <v>1874</v>
      </c>
      <c r="BF69" s="110" t="s">
        <v>1874</v>
      </c>
      <c r="BG69" s="110" t="s">
        <v>1874</v>
      </c>
      <c r="BH69" s="110" t="s">
        <v>1874</v>
      </c>
      <c r="BI69" s="2"/>
    </row>
    <row r="70" spans="1:61" ht="15">
      <c r="A70" s="61" t="s">
        <v>289</v>
      </c>
      <c r="B70" s="62" t="s">
        <v>2893</v>
      </c>
      <c r="C70" s="62"/>
      <c r="D70" s="63">
        <v>100</v>
      </c>
      <c r="E70" s="65">
        <v>50</v>
      </c>
      <c r="F70" s="100" t="str">
        <f>HYPERLINK("https://yt3.ggpht.com/ytc/AGIKgqNWL-yBZi1BwW5_pp1ZizcbbCfpP34c1zASGzZopA=s88-c-k-c0x00ffffff-no-rj")</f>
        <v>https://yt3.ggpht.com/ytc/AGIKgqNWL-yBZi1BwW5_pp1ZizcbbCfpP34c1zASGzZopA=s88-c-k-c0x00ffffff-no-rj</v>
      </c>
      <c r="G70" s="62"/>
      <c r="H70" s="66" t="s">
        <v>1127</v>
      </c>
      <c r="I70" s="67"/>
      <c r="J70" s="67" t="s">
        <v>159</v>
      </c>
      <c r="K70" s="66" t="s">
        <v>1127</v>
      </c>
      <c r="L70" s="70"/>
      <c r="M70" s="71">
        <v>5466.208984375</v>
      </c>
      <c r="N70" s="71">
        <v>8372.2900390625</v>
      </c>
      <c r="O70" s="72"/>
      <c r="P70" s="73"/>
      <c r="Q70" s="73"/>
      <c r="R70" s="94"/>
      <c r="S70" s="45">
        <v>0</v>
      </c>
      <c r="T70" s="45">
        <v>1</v>
      </c>
      <c r="U70" s="46">
        <v>0</v>
      </c>
      <c r="V70" s="46">
        <v>0.031335</v>
      </c>
      <c r="W70" s="46">
        <v>0</v>
      </c>
      <c r="X70" s="46">
        <v>0.002061</v>
      </c>
      <c r="Y70" s="46">
        <v>0</v>
      </c>
      <c r="Z70" s="46">
        <v>0</v>
      </c>
      <c r="AA70" s="68">
        <v>70</v>
      </c>
      <c r="AB70" s="68"/>
      <c r="AC70" s="69"/>
      <c r="AD70" s="83" t="s">
        <v>1127</v>
      </c>
      <c r="AE70" s="83"/>
      <c r="AF70" s="83"/>
      <c r="AG70" s="83"/>
      <c r="AH70" s="83"/>
      <c r="AI70" s="83" t="s">
        <v>2148</v>
      </c>
      <c r="AJ70" s="83" t="s">
        <v>2547</v>
      </c>
      <c r="AK70" s="89" t="str">
        <f>HYPERLINK("https://yt3.ggpht.com/ytc/AGIKgqNWL-yBZi1BwW5_pp1ZizcbbCfpP34c1zASGzZopA=s88-c-k-c0x00ffffff-no-rj")</f>
        <v>https://yt3.ggpht.com/ytc/AGIKgqNWL-yBZi1BwW5_pp1ZizcbbCfpP34c1zASGzZopA=s88-c-k-c0x00ffffff-no-rj</v>
      </c>
      <c r="AL70" s="83">
        <v>0</v>
      </c>
      <c r="AM70" s="83">
        <v>0</v>
      </c>
      <c r="AN70" s="83">
        <v>14</v>
      </c>
      <c r="AO70" s="83" t="b">
        <v>0</v>
      </c>
      <c r="AP70" s="83">
        <v>0</v>
      </c>
      <c r="AQ70" s="83"/>
      <c r="AR70" s="83"/>
      <c r="AS70" s="83" t="s">
        <v>2744</v>
      </c>
      <c r="AT70" s="89" t="str">
        <f>HYPERLINK("https://www.youtube.com/channel/UCqhr5Tcm2qbJzvLnbxsealQ")</f>
        <v>https://www.youtube.com/channel/UCqhr5Tcm2qbJzvLnbxsealQ</v>
      </c>
      <c r="AU70" s="83" t="str">
        <f>REPLACE(INDEX(GroupVertices[Group],MATCH(Vertices[[#This Row],[Vertex]],GroupVertices[Vertex],0)),1,1,"")</f>
        <v>4</v>
      </c>
      <c r="AV70" s="45"/>
      <c r="AW70" s="46"/>
      <c r="AX70" s="45"/>
      <c r="AY70" s="46"/>
      <c r="AZ70" s="45"/>
      <c r="BA70" s="46"/>
      <c r="BB70" s="45"/>
      <c r="BC70" s="46"/>
      <c r="BD70" s="45"/>
      <c r="BE70" s="110" t="s">
        <v>1874</v>
      </c>
      <c r="BF70" s="110" t="s">
        <v>1874</v>
      </c>
      <c r="BG70" s="110" t="s">
        <v>1874</v>
      </c>
      <c r="BH70" s="110" t="s">
        <v>1874</v>
      </c>
      <c r="BI70" s="2"/>
    </row>
    <row r="71" spans="1:61" ht="15">
      <c r="A71" s="61" t="s">
        <v>290</v>
      </c>
      <c r="B71" s="62" t="s">
        <v>2893</v>
      </c>
      <c r="C71" s="62"/>
      <c r="D71" s="63">
        <v>100</v>
      </c>
      <c r="E71" s="65">
        <v>50</v>
      </c>
      <c r="F71" s="100" t="str">
        <f>HYPERLINK("https://yt3.ggpht.com/fQicKHqZHLQLiGuW_YR1CphcIDd33DP6weU2seYX0mf_fxHHHP7z1-qjLvlZ7FIg9k5qCTjPkzI=s88-c-k-c0x00ffffff-no-rj")</f>
        <v>https://yt3.ggpht.com/fQicKHqZHLQLiGuW_YR1CphcIDd33DP6weU2seYX0mf_fxHHHP7z1-qjLvlZ7FIg9k5qCTjPkzI=s88-c-k-c0x00ffffff-no-rj</v>
      </c>
      <c r="G71" s="62"/>
      <c r="H71" s="66" t="s">
        <v>1128</v>
      </c>
      <c r="I71" s="67"/>
      <c r="J71" s="67" t="s">
        <v>159</v>
      </c>
      <c r="K71" s="66" t="s">
        <v>1128</v>
      </c>
      <c r="L71" s="70"/>
      <c r="M71" s="71">
        <v>6753.31396484375</v>
      </c>
      <c r="N71" s="71">
        <v>8910.6259765625</v>
      </c>
      <c r="O71" s="72"/>
      <c r="P71" s="73"/>
      <c r="Q71" s="73"/>
      <c r="R71" s="94"/>
      <c r="S71" s="45">
        <v>0</v>
      </c>
      <c r="T71" s="45">
        <v>1</v>
      </c>
      <c r="U71" s="46">
        <v>0</v>
      </c>
      <c r="V71" s="46">
        <v>0.031335</v>
      </c>
      <c r="W71" s="46">
        <v>0</v>
      </c>
      <c r="X71" s="46">
        <v>0.002061</v>
      </c>
      <c r="Y71" s="46">
        <v>0</v>
      </c>
      <c r="Z71" s="46">
        <v>0</v>
      </c>
      <c r="AA71" s="68">
        <v>71</v>
      </c>
      <c r="AB71" s="68"/>
      <c r="AC71" s="69"/>
      <c r="AD71" s="83" t="s">
        <v>1128</v>
      </c>
      <c r="AE71" s="83" t="s">
        <v>1949</v>
      </c>
      <c r="AF71" s="83"/>
      <c r="AG71" s="83"/>
      <c r="AH71" s="83"/>
      <c r="AI71" s="83" t="s">
        <v>2149</v>
      </c>
      <c r="AJ71" s="83" t="s">
        <v>2548</v>
      </c>
      <c r="AK71" s="89" t="str">
        <f>HYPERLINK("https://yt3.ggpht.com/fQicKHqZHLQLiGuW_YR1CphcIDd33DP6weU2seYX0mf_fxHHHP7z1-qjLvlZ7FIg9k5qCTjPkzI=s88-c-k-c0x00ffffff-no-rj")</f>
        <v>https://yt3.ggpht.com/fQicKHqZHLQLiGuW_YR1CphcIDd33DP6weU2seYX0mf_fxHHHP7z1-qjLvlZ7FIg9k5qCTjPkzI=s88-c-k-c0x00ffffff-no-rj</v>
      </c>
      <c r="AL71" s="83">
        <v>3043711</v>
      </c>
      <c r="AM71" s="83">
        <v>0</v>
      </c>
      <c r="AN71" s="83">
        <v>2640</v>
      </c>
      <c r="AO71" s="83" t="b">
        <v>0</v>
      </c>
      <c r="AP71" s="83">
        <v>356</v>
      </c>
      <c r="AQ71" s="83"/>
      <c r="AR71" s="83"/>
      <c r="AS71" s="83" t="s">
        <v>2744</v>
      </c>
      <c r="AT71" s="89" t="str">
        <f>HYPERLINK("https://www.youtube.com/channel/UCVOBi0UXAKcEk0z471Qf-DA")</f>
        <v>https://www.youtube.com/channel/UCVOBi0UXAKcEk0z471Qf-DA</v>
      </c>
      <c r="AU71" s="83" t="str">
        <f>REPLACE(INDEX(GroupVertices[Group],MATCH(Vertices[[#This Row],[Vertex]],GroupVertices[Vertex],0)),1,1,"")</f>
        <v>4</v>
      </c>
      <c r="AV71" s="45"/>
      <c r="AW71" s="46"/>
      <c r="AX71" s="45"/>
      <c r="AY71" s="46"/>
      <c r="AZ71" s="45"/>
      <c r="BA71" s="46"/>
      <c r="BB71" s="45"/>
      <c r="BC71" s="46"/>
      <c r="BD71" s="45"/>
      <c r="BE71" s="110" t="s">
        <v>1874</v>
      </c>
      <c r="BF71" s="110" t="s">
        <v>1874</v>
      </c>
      <c r="BG71" s="110" t="s">
        <v>1874</v>
      </c>
      <c r="BH71" s="110" t="s">
        <v>1874</v>
      </c>
      <c r="BI71" s="2"/>
    </row>
    <row r="72" spans="1:61" ht="15">
      <c r="A72" s="61" t="s">
        <v>291</v>
      </c>
      <c r="B72" s="62" t="s">
        <v>2893</v>
      </c>
      <c r="C72" s="62"/>
      <c r="D72" s="63">
        <v>100</v>
      </c>
      <c r="E72" s="65">
        <v>50</v>
      </c>
      <c r="F72" s="100" t="str">
        <f>HYPERLINK("https://yt3.ggpht.com/ytc/AGIKgqNP35DC4QqzrNSuIsQGfk3-WiPOX0oODsiA3g-L=s88-c-k-c0x00ffffff-no-rj")</f>
        <v>https://yt3.ggpht.com/ytc/AGIKgqNP35DC4QqzrNSuIsQGfk3-WiPOX0oODsiA3g-L=s88-c-k-c0x00ffffff-no-rj</v>
      </c>
      <c r="G72" s="62"/>
      <c r="H72" s="66" t="s">
        <v>1129</v>
      </c>
      <c r="I72" s="67"/>
      <c r="J72" s="67" t="s">
        <v>159</v>
      </c>
      <c r="K72" s="66" t="s">
        <v>1129</v>
      </c>
      <c r="L72" s="70"/>
      <c r="M72" s="71">
        <v>6431.5380859375</v>
      </c>
      <c r="N72" s="71">
        <v>8910.6259765625</v>
      </c>
      <c r="O72" s="72"/>
      <c r="P72" s="73"/>
      <c r="Q72" s="73"/>
      <c r="R72" s="94"/>
      <c r="S72" s="45">
        <v>0</v>
      </c>
      <c r="T72" s="45">
        <v>1</v>
      </c>
      <c r="U72" s="46">
        <v>0</v>
      </c>
      <c r="V72" s="46">
        <v>0.031335</v>
      </c>
      <c r="W72" s="46">
        <v>0</v>
      </c>
      <c r="X72" s="46">
        <v>0.002061</v>
      </c>
      <c r="Y72" s="46">
        <v>0</v>
      </c>
      <c r="Z72" s="46">
        <v>0</v>
      </c>
      <c r="AA72" s="68">
        <v>72</v>
      </c>
      <c r="AB72" s="68"/>
      <c r="AC72" s="69"/>
      <c r="AD72" s="83" t="s">
        <v>1129</v>
      </c>
      <c r="AE72" s="83"/>
      <c r="AF72" s="83"/>
      <c r="AG72" s="83"/>
      <c r="AH72" s="83"/>
      <c r="AI72" s="83" t="s">
        <v>2150</v>
      </c>
      <c r="AJ72" s="83" t="s">
        <v>2549</v>
      </c>
      <c r="AK72" s="89" t="str">
        <f>HYPERLINK("https://yt3.ggpht.com/ytc/AGIKgqNP35DC4QqzrNSuIsQGfk3-WiPOX0oODsiA3g-L=s88-c-k-c0x00ffffff-no-rj")</f>
        <v>https://yt3.ggpht.com/ytc/AGIKgqNP35DC4QqzrNSuIsQGfk3-WiPOX0oODsiA3g-L=s88-c-k-c0x00ffffff-no-rj</v>
      </c>
      <c r="AL72" s="83">
        <v>0</v>
      </c>
      <c r="AM72" s="83">
        <v>0</v>
      </c>
      <c r="AN72" s="83">
        <v>4</v>
      </c>
      <c r="AO72" s="83" t="b">
        <v>0</v>
      </c>
      <c r="AP72" s="83">
        <v>0</v>
      </c>
      <c r="AQ72" s="83"/>
      <c r="AR72" s="83"/>
      <c r="AS72" s="83" t="s">
        <v>2744</v>
      </c>
      <c r="AT72" s="89" t="str">
        <f>HYPERLINK("https://www.youtube.com/channel/UCEgERZfssXDplwE7uqarTuw")</f>
        <v>https://www.youtube.com/channel/UCEgERZfssXDplwE7uqarTuw</v>
      </c>
      <c r="AU72" s="83" t="str">
        <f>REPLACE(INDEX(GroupVertices[Group],MATCH(Vertices[[#This Row],[Vertex]],GroupVertices[Vertex],0)),1,1,"")</f>
        <v>4</v>
      </c>
      <c r="AV72" s="45"/>
      <c r="AW72" s="46"/>
      <c r="AX72" s="45"/>
      <c r="AY72" s="46"/>
      <c r="AZ72" s="45"/>
      <c r="BA72" s="46"/>
      <c r="BB72" s="45"/>
      <c r="BC72" s="46"/>
      <c r="BD72" s="45"/>
      <c r="BE72" s="110" t="s">
        <v>1874</v>
      </c>
      <c r="BF72" s="110" t="s">
        <v>1874</v>
      </c>
      <c r="BG72" s="110" t="s">
        <v>1874</v>
      </c>
      <c r="BH72" s="110" t="s">
        <v>1874</v>
      </c>
      <c r="BI72" s="2"/>
    </row>
    <row r="73" spans="1:61" ht="15">
      <c r="A73" s="61" t="s">
        <v>292</v>
      </c>
      <c r="B73" s="62" t="s">
        <v>2893</v>
      </c>
      <c r="C73" s="62"/>
      <c r="D73" s="63">
        <v>100</v>
      </c>
      <c r="E73" s="65">
        <v>50</v>
      </c>
      <c r="F73" s="100" t="str">
        <f>HYPERLINK("https://yt3.ggpht.com/9ZvSKPA8Kf7q9fw4sJLT5GWbKzushSHm9bYDdMJimF8UMvHAQbC24Phu9L2tEiKl5AiIY_EBhA=s88-c-k-c0x00ffffff-no-rj")</f>
        <v>https://yt3.ggpht.com/9ZvSKPA8Kf7q9fw4sJLT5GWbKzushSHm9bYDdMJimF8UMvHAQbC24Phu9L2tEiKl5AiIY_EBhA=s88-c-k-c0x00ffffff-no-rj</v>
      </c>
      <c r="G73" s="62"/>
      <c r="H73" s="66" t="s">
        <v>1130</v>
      </c>
      <c r="I73" s="67"/>
      <c r="J73" s="67" t="s">
        <v>159</v>
      </c>
      <c r="K73" s="66" t="s">
        <v>1130</v>
      </c>
      <c r="L73" s="70"/>
      <c r="M73" s="71">
        <v>6109.76123046875</v>
      </c>
      <c r="N73" s="71">
        <v>8910.6259765625</v>
      </c>
      <c r="O73" s="72"/>
      <c r="P73" s="73"/>
      <c r="Q73" s="73"/>
      <c r="R73" s="94"/>
      <c r="S73" s="45">
        <v>0</v>
      </c>
      <c r="T73" s="45">
        <v>1</v>
      </c>
      <c r="U73" s="46">
        <v>0</v>
      </c>
      <c r="V73" s="46">
        <v>0.031335</v>
      </c>
      <c r="W73" s="46">
        <v>0</v>
      </c>
      <c r="X73" s="46">
        <v>0.002061</v>
      </c>
      <c r="Y73" s="46">
        <v>0</v>
      </c>
      <c r="Z73" s="46">
        <v>0</v>
      </c>
      <c r="AA73" s="68">
        <v>73</v>
      </c>
      <c r="AB73" s="68"/>
      <c r="AC73" s="69"/>
      <c r="AD73" s="83" t="s">
        <v>1130</v>
      </c>
      <c r="AE73" s="83" t="s">
        <v>1950</v>
      </c>
      <c r="AF73" s="83"/>
      <c r="AG73" s="83"/>
      <c r="AH73" s="83"/>
      <c r="AI73" s="83" t="s">
        <v>2151</v>
      </c>
      <c r="AJ73" s="83" t="s">
        <v>2550</v>
      </c>
      <c r="AK73" s="89" t="str">
        <f>HYPERLINK("https://yt3.ggpht.com/9ZvSKPA8Kf7q9fw4sJLT5GWbKzushSHm9bYDdMJimF8UMvHAQbC24Phu9L2tEiKl5AiIY_EBhA=s88-c-k-c0x00ffffff-no-rj")</f>
        <v>https://yt3.ggpht.com/9ZvSKPA8Kf7q9fw4sJLT5GWbKzushSHm9bYDdMJimF8UMvHAQbC24Phu9L2tEiKl5AiIY_EBhA=s88-c-k-c0x00ffffff-no-rj</v>
      </c>
      <c r="AL73" s="83">
        <v>149458</v>
      </c>
      <c r="AM73" s="83">
        <v>0</v>
      </c>
      <c r="AN73" s="83">
        <v>1420</v>
      </c>
      <c r="AO73" s="83" t="b">
        <v>0</v>
      </c>
      <c r="AP73" s="83">
        <v>67</v>
      </c>
      <c r="AQ73" s="83"/>
      <c r="AR73" s="83"/>
      <c r="AS73" s="83" t="s">
        <v>2744</v>
      </c>
      <c r="AT73" s="89" t="str">
        <f>HYPERLINK("https://www.youtube.com/channel/UCswmRNiUXzVF_uC4MuE1dWw")</f>
        <v>https://www.youtube.com/channel/UCswmRNiUXzVF_uC4MuE1dWw</v>
      </c>
      <c r="AU73" s="83" t="str">
        <f>REPLACE(INDEX(GroupVertices[Group],MATCH(Vertices[[#This Row],[Vertex]],GroupVertices[Vertex],0)),1,1,"")</f>
        <v>4</v>
      </c>
      <c r="AV73" s="45"/>
      <c r="AW73" s="46"/>
      <c r="AX73" s="45"/>
      <c r="AY73" s="46"/>
      <c r="AZ73" s="45"/>
      <c r="BA73" s="46"/>
      <c r="BB73" s="45"/>
      <c r="BC73" s="46"/>
      <c r="BD73" s="45"/>
      <c r="BE73" s="110" t="s">
        <v>1874</v>
      </c>
      <c r="BF73" s="110" t="s">
        <v>1874</v>
      </c>
      <c r="BG73" s="110" t="s">
        <v>1874</v>
      </c>
      <c r="BH73" s="110" t="s">
        <v>1874</v>
      </c>
      <c r="BI73" s="2"/>
    </row>
    <row r="74" spans="1:61" ht="15">
      <c r="A74" s="61" t="s">
        <v>293</v>
      </c>
      <c r="B74" s="62" t="s">
        <v>2893</v>
      </c>
      <c r="C74" s="62"/>
      <c r="D74" s="63">
        <v>100</v>
      </c>
      <c r="E74" s="65">
        <v>50</v>
      </c>
      <c r="F74" s="100" t="str">
        <f>HYPERLINK("https://yt3.ggpht.com/FofuJS7zIdJySx2WxRtIarzjw456Hu_qPGD2cFNEvFSswHHhL-e_gWcAr8NMPAPQKF1G9UrNww=s88-c-k-c0x00ffffff-no-rj")</f>
        <v>https://yt3.ggpht.com/FofuJS7zIdJySx2WxRtIarzjw456Hu_qPGD2cFNEvFSswHHhL-e_gWcAr8NMPAPQKF1G9UrNww=s88-c-k-c0x00ffffff-no-rj</v>
      </c>
      <c r="G74" s="62"/>
      <c r="H74" s="66" t="s">
        <v>1131</v>
      </c>
      <c r="I74" s="67"/>
      <c r="J74" s="67" t="s">
        <v>159</v>
      </c>
      <c r="K74" s="66" t="s">
        <v>1131</v>
      </c>
      <c r="L74" s="70"/>
      <c r="M74" s="71">
        <v>5787.98486328125</v>
      </c>
      <c r="N74" s="71">
        <v>8910.6259765625</v>
      </c>
      <c r="O74" s="72"/>
      <c r="P74" s="73"/>
      <c r="Q74" s="73"/>
      <c r="R74" s="94"/>
      <c r="S74" s="45">
        <v>0</v>
      </c>
      <c r="T74" s="45">
        <v>1</v>
      </c>
      <c r="U74" s="46">
        <v>0</v>
      </c>
      <c r="V74" s="46">
        <v>0.031335</v>
      </c>
      <c r="W74" s="46">
        <v>0</v>
      </c>
      <c r="X74" s="46">
        <v>0.002061</v>
      </c>
      <c r="Y74" s="46">
        <v>0</v>
      </c>
      <c r="Z74" s="46">
        <v>0</v>
      </c>
      <c r="AA74" s="68">
        <v>74</v>
      </c>
      <c r="AB74" s="68"/>
      <c r="AC74" s="69"/>
      <c r="AD74" s="83" t="s">
        <v>1131</v>
      </c>
      <c r="AE74" s="83"/>
      <c r="AF74" s="83"/>
      <c r="AG74" s="83"/>
      <c r="AH74" s="83"/>
      <c r="AI74" s="83" t="s">
        <v>2152</v>
      </c>
      <c r="AJ74" s="83" t="s">
        <v>2551</v>
      </c>
      <c r="AK74" s="89" t="str">
        <f>HYPERLINK("https://yt3.ggpht.com/FofuJS7zIdJySx2WxRtIarzjw456Hu_qPGD2cFNEvFSswHHhL-e_gWcAr8NMPAPQKF1G9UrNww=s88-c-k-c0x00ffffff-no-rj")</f>
        <v>https://yt3.ggpht.com/FofuJS7zIdJySx2WxRtIarzjw456Hu_qPGD2cFNEvFSswHHhL-e_gWcAr8NMPAPQKF1G9UrNww=s88-c-k-c0x00ffffff-no-rj</v>
      </c>
      <c r="AL74" s="83">
        <v>0</v>
      </c>
      <c r="AM74" s="83">
        <v>0</v>
      </c>
      <c r="AN74" s="83">
        <v>0</v>
      </c>
      <c r="AO74" s="83" t="b">
        <v>0</v>
      </c>
      <c r="AP74" s="83">
        <v>0</v>
      </c>
      <c r="AQ74" s="83"/>
      <c r="AR74" s="83"/>
      <c r="AS74" s="83" t="s">
        <v>2744</v>
      </c>
      <c r="AT74" s="89" t="str">
        <f>HYPERLINK("https://www.youtube.com/channel/UC45AoGgZyWrW0zhS3Q-WRyw")</f>
        <v>https://www.youtube.com/channel/UC45AoGgZyWrW0zhS3Q-WRyw</v>
      </c>
      <c r="AU74" s="83" t="str">
        <f>REPLACE(INDEX(GroupVertices[Group],MATCH(Vertices[[#This Row],[Vertex]],GroupVertices[Vertex],0)),1,1,"")</f>
        <v>4</v>
      </c>
      <c r="AV74" s="45"/>
      <c r="AW74" s="46"/>
      <c r="AX74" s="45"/>
      <c r="AY74" s="46"/>
      <c r="AZ74" s="45"/>
      <c r="BA74" s="46"/>
      <c r="BB74" s="45"/>
      <c r="BC74" s="46"/>
      <c r="BD74" s="45"/>
      <c r="BE74" s="110" t="s">
        <v>1874</v>
      </c>
      <c r="BF74" s="110" t="s">
        <v>1874</v>
      </c>
      <c r="BG74" s="110" t="s">
        <v>1874</v>
      </c>
      <c r="BH74" s="110" t="s">
        <v>1874</v>
      </c>
      <c r="BI74" s="2"/>
    </row>
    <row r="75" spans="1:61" ht="15">
      <c r="A75" s="61" t="s">
        <v>294</v>
      </c>
      <c r="B75" s="62" t="s">
        <v>2893</v>
      </c>
      <c r="C75" s="62"/>
      <c r="D75" s="63">
        <v>100</v>
      </c>
      <c r="E75" s="65">
        <v>50</v>
      </c>
      <c r="F75" s="100" t="str">
        <f>HYPERLINK("https://yt3.ggpht.com/ytc/AGIKgqP8V5OGS2KTW4xnqbdLSrOr0BYu5X8sH8tt6w=s88-c-k-c0x00ffffff-no-rj")</f>
        <v>https://yt3.ggpht.com/ytc/AGIKgqP8V5OGS2KTW4xnqbdLSrOr0BYu5X8sH8tt6w=s88-c-k-c0x00ffffff-no-rj</v>
      </c>
      <c r="G75" s="62"/>
      <c r="H75" s="66" t="s">
        <v>1132</v>
      </c>
      <c r="I75" s="67"/>
      <c r="J75" s="67" t="s">
        <v>159</v>
      </c>
      <c r="K75" s="66" t="s">
        <v>1132</v>
      </c>
      <c r="L75" s="70"/>
      <c r="M75" s="71">
        <v>5466.208984375</v>
      </c>
      <c r="N75" s="71">
        <v>8910.6259765625</v>
      </c>
      <c r="O75" s="72"/>
      <c r="P75" s="73"/>
      <c r="Q75" s="73"/>
      <c r="R75" s="94"/>
      <c r="S75" s="45">
        <v>0</v>
      </c>
      <c r="T75" s="45">
        <v>1</v>
      </c>
      <c r="U75" s="46">
        <v>0</v>
      </c>
      <c r="V75" s="46">
        <v>0.031335</v>
      </c>
      <c r="W75" s="46">
        <v>0</v>
      </c>
      <c r="X75" s="46">
        <v>0.002061</v>
      </c>
      <c r="Y75" s="46">
        <v>0</v>
      </c>
      <c r="Z75" s="46">
        <v>0</v>
      </c>
      <c r="AA75" s="68">
        <v>75</v>
      </c>
      <c r="AB75" s="68"/>
      <c r="AC75" s="69"/>
      <c r="AD75" s="83" t="s">
        <v>1132</v>
      </c>
      <c r="AE75" s="83"/>
      <c r="AF75" s="83"/>
      <c r="AG75" s="83"/>
      <c r="AH75" s="83"/>
      <c r="AI75" s="83" t="s">
        <v>2153</v>
      </c>
      <c r="AJ75" s="83" t="s">
        <v>2552</v>
      </c>
      <c r="AK75" s="89" t="str">
        <f>HYPERLINK("https://yt3.ggpht.com/ytc/AGIKgqP8V5OGS2KTW4xnqbdLSrOr0BYu5X8sH8tt6w=s88-c-k-c0x00ffffff-no-rj")</f>
        <v>https://yt3.ggpht.com/ytc/AGIKgqP8V5OGS2KTW4xnqbdLSrOr0BYu5X8sH8tt6w=s88-c-k-c0x00ffffff-no-rj</v>
      </c>
      <c r="AL75" s="83">
        <v>0</v>
      </c>
      <c r="AM75" s="83">
        <v>0</v>
      </c>
      <c r="AN75" s="83">
        <v>1</v>
      </c>
      <c r="AO75" s="83" t="b">
        <v>0</v>
      </c>
      <c r="AP75" s="83">
        <v>0</v>
      </c>
      <c r="AQ75" s="83"/>
      <c r="AR75" s="83"/>
      <c r="AS75" s="83" t="s">
        <v>2744</v>
      </c>
      <c r="AT75" s="89" t="str">
        <f>HYPERLINK("https://www.youtube.com/channel/UCrjpgaTooj-Ar76N7gwpjtw")</f>
        <v>https://www.youtube.com/channel/UCrjpgaTooj-Ar76N7gwpjtw</v>
      </c>
      <c r="AU75" s="83" t="str">
        <f>REPLACE(INDEX(GroupVertices[Group],MATCH(Vertices[[#This Row],[Vertex]],GroupVertices[Vertex],0)),1,1,"")</f>
        <v>4</v>
      </c>
      <c r="AV75" s="45"/>
      <c r="AW75" s="46"/>
      <c r="AX75" s="45"/>
      <c r="AY75" s="46"/>
      <c r="AZ75" s="45"/>
      <c r="BA75" s="46"/>
      <c r="BB75" s="45"/>
      <c r="BC75" s="46"/>
      <c r="BD75" s="45"/>
      <c r="BE75" s="110" t="s">
        <v>1874</v>
      </c>
      <c r="BF75" s="110" t="s">
        <v>1874</v>
      </c>
      <c r="BG75" s="110" t="s">
        <v>1874</v>
      </c>
      <c r="BH75" s="110" t="s">
        <v>1874</v>
      </c>
      <c r="BI75" s="2"/>
    </row>
    <row r="76" spans="1:61" ht="15">
      <c r="A76" s="61" t="s">
        <v>295</v>
      </c>
      <c r="B76" s="62" t="s">
        <v>2893</v>
      </c>
      <c r="C76" s="62"/>
      <c r="D76" s="63">
        <v>100</v>
      </c>
      <c r="E76" s="65">
        <v>50</v>
      </c>
      <c r="F76" s="100" t="str">
        <f>HYPERLINK("https://yt3.ggpht.com/ytc/AGIKgqMiKHRHjkU-20LygqRwrjwGcND4GAKNSgj4qg=s88-c-k-c0x00ffffff-no-rj")</f>
        <v>https://yt3.ggpht.com/ytc/AGIKgqMiKHRHjkU-20LygqRwrjwGcND4GAKNSgj4qg=s88-c-k-c0x00ffffff-no-rj</v>
      </c>
      <c r="G76" s="62"/>
      <c r="H76" s="66" t="s">
        <v>1133</v>
      </c>
      <c r="I76" s="67"/>
      <c r="J76" s="67" t="s">
        <v>159</v>
      </c>
      <c r="K76" s="66" t="s">
        <v>1133</v>
      </c>
      <c r="L76" s="70"/>
      <c r="M76" s="71">
        <v>6753.31396484375</v>
      </c>
      <c r="N76" s="71">
        <v>9448.9609375</v>
      </c>
      <c r="O76" s="72"/>
      <c r="P76" s="73"/>
      <c r="Q76" s="73"/>
      <c r="R76" s="94"/>
      <c r="S76" s="45">
        <v>0</v>
      </c>
      <c r="T76" s="45">
        <v>1</v>
      </c>
      <c r="U76" s="46">
        <v>0</v>
      </c>
      <c r="V76" s="46">
        <v>0.031335</v>
      </c>
      <c r="W76" s="46">
        <v>0</v>
      </c>
      <c r="X76" s="46">
        <v>0.002061</v>
      </c>
      <c r="Y76" s="46">
        <v>0</v>
      </c>
      <c r="Z76" s="46">
        <v>0</v>
      </c>
      <c r="AA76" s="68">
        <v>76</v>
      </c>
      <c r="AB76" s="68"/>
      <c r="AC76" s="69"/>
      <c r="AD76" s="83" t="s">
        <v>1133</v>
      </c>
      <c r="AE76" s="83"/>
      <c r="AF76" s="83"/>
      <c r="AG76" s="83"/>
      <c r="AH76" s="83"/>
      <c r="AI76" s="83" t="s">
        <v>2154</v>
      </c>
      <c r="AJ76" s="83" t="s">
        <v>2553</v>
      </c>
      <c r="AK76" s="89" t="str">
        <f>HYPERLINK("https://yt3.ggpht.com/ytc/AGIKgqMiKHRHjkU-20LygqRwrjwGcND4GAKNSgj4qg=s88-c-k-c0x00ffffff-no-rj")</f>
        <v>https://yt3.ggpht.com/ytc/AGIKgqMiKHRHjkU-20LygqRwrjwGcND4GAKNSgj4qg=s88-c-k-c0x00ffffff-no-rj</v>
      </c>
      <c r="AL76" s="83">
        <v>0</v>
      </c>
      <c r="AM76" s="83">
        <v>0</v>
      </c>
      <c r="AN76" s="83">
        <v>2</v>
      </c>
      <c r="AO76" s="83" t="b">
        <v>0</v>
      </c>
      <c r="AP76" s="83">
        <v>0</v>
      </c>
      <c r="AQ76" s="83"/>
      <c r="AR76" s="83"/>
      <c r="AS76" s="83" t="s">
        <v>2744</v>
      </c>
      <c r="AT76" s="89" t="str">
        <f>HYPERLINK("https://www.youtube.com/channel/UCZzREx42uKVp4t8DHR9syDA")</f>
        <v>https://www.youtube.com/channel/UCZzREx42uKVp4t8DHR9syDA</v>
      </c>
      <c r="AU76" s="83" t="str">
        <f>REPLACE(INDEX(GroupVertices[Group],MATCH(Vertices[[#This Row],[Vertex]],GroupVertices[Vertex],0)),1,1,"")</f>
        <v>4</v>
      </c>
      <c r="AV76" s="45"/>
      <c r="AW76" s="46"/>
      <c r="AX76" s="45"/>
      <c r="AY76" s="46"/>
      <c r="AZ76" s="45"/>
      <c r="BA76" s="46"/>
      <c r="BB76" s="45"/>
      <c r="BC76" s="46"/>
      <c r="BD76" s="45"/>
      <c r="BE76" s="110" t="s">
        <v>1874</v>
      </c>
      <c r="BF76" s="110" t="s">
        <v>1874</v>
      </c>
      <c r="BG76" s="110" t="s">
        <v>1874</v>
      </c>
      <c r="BH76" s="110" t="s">
        <v>1874</v>
      </c>
      <c r="BI76" s="2"/>
    </row>
    <row r="77" spans="1:61" ht="15">
      <c r="A77" s="61" t="s">
        <v>296</v>
      </c>
      <c r="B77" s="62" t="s">
        <v>2893</v>
      </c>
      <c r="C77" s="62"/>
      <c r="D77" s="63">
        <v>100</v>
      </c>
      <c r="E77" s="65">
        <v>50</v>
      </c>
      <c r="F77" s="100" t="str">
        <f>HYPERLINK("https://yt3.ggpht.com/ytc/AGIKgqPYwn0sl4uHH6Ayas2nDY5_FJAe3dSZMdwp7S0L4Q=s88-c-k-c0x00ffffff-no-rj")</f>
        <v>https://yt3.ggpht.com/ytc/AGIKgqPYwn0sl4uHH6Ayas2nDY5_FJAe3dSZMdwp7S0L4Q=s88-c-k-c0x00ffffff-no-rj</v>
      </c>
      <c r="G77" s="62"/>
      <c r="H77" s="66" t="s">
        <v>1134</v>
      </c>
      <c r="I77" s="67"/>
      <c r="J77" s="67" t="s">
        <v>159</v>
      </c>
      <c r="K77" s="66" t="s">
        <v>1134</v>
      </c>
      <c r="L77" s="70"/>
      <c r="M77" s="71">
        <v>6431.5380859375</v>
      </c>
      <c r="N77" s="71">
        <v>9448.9609375</v>
      </c>
      <c r="O77" s="72"/>
      <c r="P77" s="73"/>
      <c r="Q77" s="73"/>
      <c r="R77" s="94"/>
      <c r="S77" s="45">
        <v>0</v>
      </c>
      <c r="T77" s="45">
        <v>1</v>
      </c>
      <c r="U77" s="46">
        <v>0</v>
      </c>
      <c r="V77" s="46">
        <v>0.031335</v>
      </c>
      <c r="W77" s="46">
        <v>0</v>
      </c>
      <c r="X77" s="46">
        <v>0.002061</v>
      </c>
      <c r="Y77" s="46">
        <v>0</v>
      </c>
      <c r="Z77" s="46">
        <v>0</v>
      </c>
      <c r="AA77" s="68">
        <v>77</v>
      </c>
      <c r="AB77" s="68"/>
      <c r="AC77" s="69"/>
      <c r="AD77" s="83" t="s">
        <v>1134</v>
      </c>
      <c r="AE77" s="83" t="s">
        <v>1951</v>
      </c>
      <c r="AF77" s="83"/>
      <c r="AG77" s="83"/>
      <c r="AH77" s="83"/>
      <c r="AI77" s="83" t="s">
        <v>2155</v>
      </c>
      <c r="AJ77" s="83" t="s">
        <v>2554</v>
      </c>
      <c r="AK77" s="89" t="str">
        <f>HYPERLINK("https://yt3.ggpht.com/ytc/AGIKgqPYwn0sl4uHH6Ayas2nDY5_FJAe3dSZMdwp7S0L4Q=s88-c-k-c0x00ffffff-no-rj")</f>
        <v>https://yt3.ggpht.com/ytc/AGIKgqPYwn0sl4uHH6Ayas2nDY5_FJAe3dSZMdwp7S0L4Q=s88-c-k-c0x00ffffff-no-rj</v>
      </c>
      <c r="AL77" s="83">
        <v>160</v>
      </c>
      <c r="AM77" s="83">
        <v>0</v>
      </c>
      <c r="AN77" s="83">
        <v>8</v>
      </c>
      <c r="AO77" s="83" t="b">
        <v>0</v>
      </c>
      <c r="AP77" s="83">
        <v>4</v>
      </c>
      <c r="AQ77" s="83"/>
      <c r="AR77" s="83"/>
      <c r="AS77" s="83" t="s">
        <v>2744</v>
      </c>
      <c r="AT77" s="89" t="str">
        <f>HYPERLINK("https://www.youtube.com/channel/UCvA7Qp20pFtHnFx1oqhAtXA")</f>
        <v>https://www.youtube.com/channel/UCvA7Qp20pFtHnFx1oqhAtXA</v>
      </c>
      <c r="AU77" s="83" t="str">
        <f>REPLACE(INDEX(GroupVertices[Group],MATCH(Vertices[[#This Row],[Vertex]],GroupVertices[Vertex],0)),1,1,"")</f>
        <v>4</v>
      </c>
      <c r="AV77" s="45"/>
      <c r="AW77" s="46"/>
      <c r="AX77" s="45"/>
      <c r="AY77" s="46"/>
      <c r="AZ77" s="45"/>
      <c r="BA77" s="46"/>
      <c r="BB77" s="45"/>
      <c r="BC77" s="46"/>
      <c r="BD77" s="45"/>
      <c r="BE77" s="110" t="s">
        <v>1874</v>
      </c>
      <c r="BF77" s="110" t="s">
        <v>1874</v>
      </c>
      <c r="BG77" s="110" t="s">
        <v>1874</v>
      </c>
      <c r="BH77" s="110" t="s">
        <v>1874</v>
      </c>
      <c r="BI77" s="2"/>
    </row>
    <row r="78" spans="1:61" ht="15">
      <c r="A78" s="61" t="s">
        <v>297</v>
      </c>
      <c r="B78" s="62" t="s">
        <v>2893</v>
      </c>
      <c r="C78" s="62"/>
      <c r="D78" s="63">
        <v>100</v>
      </c>
      <c r="E78" s="65">
        <v>50</v>
      </c>
      <c r="F78" s="100" t="str">
        <f>HYPERLINK("https://yt3.ggpht.com/ytc/AGIKgqN88iTxvlidX3l8JnsnFJsP8OocunhK2JjOqQZK=s88-c-k-c0x00ffffff-no-rj")</f>
        <v>https://yt3.ggpht.com/ytc/AGIKgqN88iTxvlidX3l8JnsnFJsP8OocunhK2JjOqQZK=s88-c-k-c0x00ffffff-no-rj</v>
      </c>
      <c r="G78" s="62"/>
      <c r="H78" s="66" t="s">
        <v>1135</v>
      </c>
      <c r="I78" s="67"/>
      <c r="J78" s="67" t="s">
        <v>159</v>
      </c>
      <c r="K78" s="66" t="s">
        <v>1135</v>
      </c>
      <c r="L78" s="70"/>
      <c r="M78" s="71">
        <v>6109.76123046875</v>
      </c>
      <c r="N78" s="71">
        <v>9448.9609375</v>
      </c>
      <c r="O78" s="72"/>
      <c r="P78" s="73"/>
      <c r="Q78" s="73"/>
      <c r="R78" s="94"/>
      <c r="S78" s="45">
        <v>0</v>
      </c>
      <c r="T78" s="45">
        <v>1</v>
      </c>
      <c r="U78" s="46">
        <v>0</v>
      </c>
      <c r="V78" s="46">
        <v>0.031335</v>
      </c>
      <c r="W78" s="46">
        <v>0</v>
      </c>
      <c r="X78" s="46">
        <v>0.002061</v>
      </c>
      <c r="Y78" s="46">
        <v>0</v>
      </c>
      <c r="Z78" s="46">
        <v>0</v>
      </c>
      <c r="AA78" s="68">
        <v>78</v>
      </c>
      <c r="AB78" s="68"/>
      <c r="AC78" s="69"/>
      <c r="AD78" s="83" t="s">
        <v>1135</v>
      </c>
      <c r="AE78" s="83"/>
      <c r="AF78" s="83"/>
      <c r="AG78" s="83"/>
      <c r="AH78" s="83"/>
      <c r="AI78" s="83" t="s">
        <v>2156</v>
      </c>
      <c r="AJ78" s="83" t="s">
        <v>2555</v>
      </c>
      <c r="AK78" s="89" t="str">
        <f>HYPERLINK("https://yt3.ggpht.com/ytc/AGIKgqN88iTxvlidX3l8JnsnFJsP8OocunhK2JjOqQZK=s88-c-k-c0x00ffffff-no-rj")</f>
        <v>https://yt3.ggpht.com/ytc/AGIKgqN88iTxvlidX3l8JnsnFJsP8OocunhK2JjOqQZK=s88-c-k-c0x00ffffff-no-rj</v>
      </c>
      <c r="AL78" s="83">
        <v>0</v>
      </c>
      <c r="AM78" s="83">
        <v>0</v>
      </c>
      <c r="AN78" s="83">
        <v>4</v>
      </c>
      <c r="AO78" s="83" t="b">
        <v>0</v>
      </c>
      <c r="AP78" s="83">
        <v>0</v>
      </c>
      <c r="AQ78" s="83"/>
      <c r="AR78" s="83"/>
      <c r="AS78" s="83" t="s">
        <v>2744</v>
      </c>
      <c r="AT78" s="89" t="str">
        <f>HYPERLINK("https://www.youtube.com/channel/UCGXvahpJZ8DpiwAjP22Kxkw")</f>
        <v>https://www.youtube.com/channel/UCGXvahpJZ8DpiwAjP22Kxkw</v>
      </c>
      <c r="AU78" s="83" t="str">
        <f>REPLACE(INDEX(GroupVertices[Group],MATCH(Vertices[[#This Row],[Vertex]],GroupVertices[Vertex],0)),1,1,"")</f>
        <v>4</v>
      </c>
      <c r="AV78" s="45"/>
      <c r="AW78" s="46"/>
      <c r="AX78" s="45"/>
      <c r="AY78" s="46"/>
      <c r="AZ78" s="45"/>
      <c r="BA78" s="46"/>
      <c r="BB78" s="45"/>
      <c r="BC78" s="46"/>
      <c r="BD78" s="45"/>
      <c r="BE78" s="110" t="s">
        <v>1874</v>
      </c>
      <c r="BF78" s="110" t="s">
        <v>1874</v>
      </c>
      <c r="BG78" s="110" t="s">
        <v>1874</v>
      </c>
      <c r="BH78" s="110" t="s">
        <v>1874</v>
      </c>
      <c r="BI78" s="2"/>
    </row>
    <row r="79" spans="1:61" ht="15">
      <c r="A79" s="61" t="s">
        <v>298</v>
      </c>
      <c r="B79" s="62" t="s">
        <v>2893</v>
      </c>
      <c r="C79" s="62"/>
      <c r="D79" s="63">
        <v>100</v>
      </c>
      <c r="E79" s="65">
        <v>50</v>
      </c>
      <c r="F79" s="100" t="str">
        <f>HYPERLINK("https://yt3.ggpht.com/H7YWDsjtS3RyeX4VoainybNfz8a8kJQf_cTnRnekOjZStvgV-z0MGM_XdvPlpcoQGBzlXmJh=s88-c-k-c0x00ffffff-no-rj")</f>
        <v>https://yt3.ggpht.com/H7YWDsjtS3RyeX4VoainybNfz8a8kJQf_cTnRnekOjZStvgV-z0MGM_XdvPlpcoQGBzlXmJh=s88-c-k-c0x00ffffff-no-rj</v>
      </c>
      <c r="G79" s="62"/>
      <c r="H79" s="66" t="s">
        <v>1136</v>
      </c>
      <c r="I79" s="67"/>
      <c r="J79" s="67" t="s">
        <v>159</v>
      </c>
      <c r="K79" s="66" t="s">
        <v>1136</v>
      </c>
      <c r="L79" s="70"/>
      <c r="M79" s="71">
        <v>5466.208984375</v>
      </c>
      <c r="N79" s="71">
        <v>9448.9609375</v>
      </c>
      <c r="O79" s="72"/>
      <c r="P79" s="73"/>
      <c r="Q79" s="73"/>
      <c r="R79" s="94"/>
      <c r="S79" s="45">
        <v>0</v>
      </c>
      <c r="T79" s="45">
        <v>1</v>
      </c>
      <c r="U79" s="46">
        <v>0</v>
      </c>
      <c r="V79" s="46">
        <v>0.031335</v>
      </c>
      <c r="W79" s="46">
        <v>0</v>
      </c>
      <c r="X79" s="46">
        <v>0.002061</v>
      </c>
      <c r="Y79" s="46">
        <v>0</v>
      </c>
      <c r="Z79" s="46">
        <v>0</v>
      </c>
      <c r="AA79" s="68">
        <v>79</v>
      </c>
      <c r="AB79" s="68"/>
      <c r="AC79" s="69"/>
      <c r="AD79" s="83" t="s">
        <v>1136</v>
      </c>
      <c r="AE79" s="83" t="s">
        <v>1952</v>
      </c>
      <c r="AF79" s="83"/>
      <c r="AG79" s="83"/>
      <c r="AH79" s="83"/>
      <c r="AI79" s="83" t="s">
        <v>2157</v>
      </c>
      <c r="AJ79" s="92">
        <v>42465.83440972222</v>
      </c>
      <c r="AK79" s="89" t="str">
        <f>HYPERLINK("https://yt3.ggpht.com/H7YWDsjtS3RyeX4VoainybNfz8a8kJQf_cTnRnekOjZStvgV-z0MGM_XdvPlpcoQGBzlXmJh=s88-c-k-c0x00ffffff-no-rj")</f>
        <v>https://yt3.ggpht.com/H7YWDsjtS3RyeX4VoainybNfz8a8kJQf_cTnRnekOjZStvgV-z0MGM_XdvPlpcoQGBzlXmJh=s88-c-k-c0x00ffffff-no-rj</v>
      </c>
      <c r="AL79" s="83">
        <v>0</v>
      </c>
      <c r="AM79" s="83">
        <v>0</v>
      </c>
      <c r="AN79" s="83">
        <v>11</v>
      </c>
      <c r="AO79" s="83" t="b">
        <v>0</v>
      </c>
      <c r="AP79" s="83">
        <v>0</v>
      </c>
      <c r="AQ79" s="83"/>
      <c r="AR79" s="83"/>
      <c r="AS79" s="83" t="s">
        <v>2744</v>
      </c>
      <c r="AT79" s="89" t="str">
        <f>HYPERLINK("https://www.youtube.com/channel/UCAcSQIhVSNA0EuCKCVwlUiw")</f>
        <v>https://www.youtube.com/channel/UCAcSQIhVSNA0EuCKCVwlUiw</v>
      </c>
      <c r="AU79" s="83" t="str">
        <f>REPLACE(INDEX(GroupVertices[Group],MATCH(Vertices[[#This Row],[Vertex]],GroupVertices[Vertex],0)),1,1,"")</f>
        <v>4</v>
      </c>
      <c r="AV79" s="45"/>
      <c r="AW79" s="46"/>
      <c r="AX79" s="45"/>
      <c r="AY79" s="46"/>
      <c r="AZ79" s="45"/>
      <c r="BA79" s="46"/>
      <c r="BB79" s="45"/>
      <c r="BC79" s="46"/>
      <c r="BD79" s="45"/>
      <c r="BE79" s="110" t="s">
        <v>1874</v>
      </c>
      <c r="BF79" s="110" t="s">
        <v>1874</v>
      </c>
      <c r="BG79" s="110" t="s">
        <v>1874</v>
      </c>
      <c r="BH79" s="110" t="s">
        <v>1874</v>
      </c>
      <c r="BI79" s="2"/>
    </row>
    <row r="80" spans="1:61" ht="15">
      <c r="A80" s="61" t="s">
        <v>299</v>
      </c>
      <c r="B80" s="62" t="s">
        <v>2893</v>
      </c>
      <c r="C80" s="62"/>
      <c r="D80" s="63">
        <v>100</v>
      </c>
      <c r="E80" s="65">
        <v>50</v>
      </c>
      <c r="F80" s="100" t="str">
        <f>HYPERLINK("https://yt3.ggpht.com/5CTRxcoOzh3mYdQkeeCptzUCEPxfPGlie2lwMecYe29QCMz8ePAcsFKGASEVtdtvF34ffnntDQ=s88-c-k-c0x00ffffff-no-rj")</f>
        <v>https://yt3.ggpht.com/5CTRxcoOzh3mYdQkeeCptzUCEPxfPGlie2lwMecYe29QCMz8ePAcsFKGASEVtdtvF34ffnntDQ=s88-c-k-c0x00ffffff-no-rj</v>
      </c>
      <c r="G80" s="62"/>
      <c r="H80" s="66" t="s">
        <v>1137</v>
      </c>
      <c r="I80" s="67"/>
      <c r="J80" s="67" t="s">
        <v>159</v>
      </c>
      <c r="K80" s="66" t="s">
        <v>1137</v>
      </c>
      <c r="L80" s="70"/>
      <c r="M80" s="71">
        <v>8918.6552734375</v>
      </c>
      <c r="N80" s="71">
        <v>2204.835693359375</v>
      </c>
      <c r="O80" s="72"/>
      <c r="P80" s="73"/>
      <c r="Q80" s="73"/>
      <c r="R80" s="94"/>
      <c r="S80" s="45">
        <v>0</v>
      </c>
      <c r="T80" s="45">
        <v>1</v>
      </c>
      <c r="U80" s="46">
        <v>0</v>
      </c>
      <c r="V80" s="46">
        <v>0.003152</v>
      </c>
      <c r="W80" s="46">
        <v>0</v>
      </c>
      <c r="X80" s="46">
        <v>0.002144</v>
      </c>
      <c r="Y80" s="46">
        <v>0</v>
      </c>
      <c r="Z80" s="46">
        <v>0</v>
      </c>
      <c r="AA80" s="68">
        <v>80</v>
      </c>
      <c r="AB80" s="68"/>
      <c r="AC80" s="69"/>
      <c r="AD80" s="83" t="s">
        <v>1137</v>
      </c>
      <c r="AE80" s="83" t="s">
        <v>1953</v>
      </c>
      <c r="AF80" s="83"/>
      <c r="AG80" s="83"/>
      <c r="AH80" s="83"/>
      <c r="AI80" s="83" t="s">
        <v>2158</v>
      </c>
      <c r="AJ80" s="92">
        <v>43837.55150462963</v>
      </c>
      <c r="AK80" s="89" t="str">
        <f>HYPERLINK("https://yt3.ggpht.com/5CTRxcoOzh3mYdQkeeCptzUCEPxfPGlie2lwMecYe29QCMz8ePAcsFKGASEVtdtvF34ffnntDQ=s88-c-k-c0x00ffffff-no-rj")</f>
        <v>https://yt3.ggpht.com/5CTRxcoOzh3mYdQkeeCptzUCEPxfPGlie2lwMecYe29QCMz8ePAcsFKGASEVtdtvF34ffnntDQ=s88-c-k-c0x00ffffff-no-rj</v>
      </c>
      <c r="AL80" s="83">
        <v>858</v>
      </c>
      <c r="AM80" s="83">
        <v>0</v>
      </c>
      <c r="AN80" s="83">
        <v>43</v>
      </c>
      <c r="AO80" s="83" t="b">
        <v>0</v>
      </c>
      <c r="AP80" s="83">
        <v>24</v>
      </c>
      <c r="AQ80" s="83"/>
      <c r="AR80" s="83"/>
      <c r="AS80" s="83" t="s">
        <v>2744</v>
      </c>
      <c r="AT80" s="89" t="str">
        <f>HYPERLINK("https://www.youtube.com/channel/UCh1ZsbfioSYZ54V8mfZzfQg")</f>
        <v>https://www.youtube.com/channel/UCh1ZsbfioSYZ54V8mfZzfQg</v>
      </c>
      <c r="AU80" s="83" t="str">
        <f>REPLACE(INDEX(GroupVertices[Group],MATCH(Vertices[[#This Row],[Vertex]],GroupVertices[Vertex],0)),1,1,"")</f>
        <v>19</v>
      </c>
      <c r="AV80" s="45"/>
      <c r="AW80" s="46"/>
      <c r="AX80" s="45"/>
      <c r="AY80" s="46"/>
      <c r="AZ80" s="45"/>
      <c r="BA80" s="46"/>
      <c r="BB80" s="45"/>
      <c r="BC80" s="46"/>
      <c r="BD80" s="45"/>
      <c r="BE80" s="110" t="s">
        <v>1874</v>
      </c>
      <c r="BF80" s="110" t="s">
        <v>1874</v>
      </c>
      <c r="BG80" s="110" t="s">
        <v>1874</v>
      </c>
      <c r="BH80" s="110" t="s">
        <v>1874</v>
      </c>
      <c r="BI80" s="2"/>
    </row>
    <row r="81" spans="1:61" ht="15">
      <c r="A81" s="61" t="s">
        <v>619</v>
      </c>
      <c r="B81" s="62" t="s">
        <v>2893</v>
      </c>
      <c r="C81" s="62"/>
      <c r="D81" s="63">
        <v>126.73267326732673</v>
      </c>
      <c r="E81" s="65">
        <v>68.75</v>
      </c>
      <c r="F81" s="100" t="str">
        <f>HYPERLINK("https://yt3.ggpht.com/e_JrFg4XQQGv6es7_-W-E2e2IEMX-pJpZrfJxDLl0AetAx5EAVeH4MqtuzodCXX4DiNHBGEq=s88-c-k-c0x00ffffff-no-rj")</f>
        <v>https://yt3.ggpht.com/e_JrFg4XQQGv6es7_-W-E2e2IEMX-pJpZrfJxDLl0AetAx5EAVeH4MqtuzodCXX4DiNHBGEq=s88-c-k-c0x00ffffff-no-rj</v>
      </c>
      <c r="G81" s="62"/>
      <c r="H81" s="66" t="s">
        <v>1891</v>
      </c>
      <c r="I81" s="67"/>
      <c r="J81" s="67" t="s">
        <v>159</v>
      </c>
      <c r="K81" s="66" t="s">
        <v>1891</v>
      </c>
      <c r="L81" s="70"/>
      <c r="M81" s="71">
        <v>9151.345703125</v>
      </c>
      <c r="N81" s="71">
        <v>2626.141845703125</v>
      </c>
      <c r="O81" s="72"/>
      <c r="P81" s="73"/>
      <c r="Q81" s="73"/>
      <c r="R81" s="94"/>
      <c r="S81" s="45">
        <v>3</v>
      </c>
      <c r="T81" s="45">
        <v>1</v>
      </c>
      <c r="U81" s="46">
        <v>2</v>
      </c>
      <c r="V81" s="46">
        <v>0.004728</v>
      </c>
      <c r="W81" s="46">
        <v>0</v>
      </c>
      <c r="X81" s="46">
        <v>0.002787</v>
      </c>
      <c r="Y81" s="46">
        <v>0</v>
      </c>
      <c r="Z81" s="46">
        <v>0</v>
      </c>
      <c r="AA81" s="68">
        <v>81</v>
      </c>
      <c r="AB81" s="68"/>
      <c r="AC81" s="69"/>
      <c r="AD81" s="83" t="s">
        <v>1891</v>
      </c>
      <c r="AE81" s="83" t="s">
        <v>1954</v>
      </c>
      <c r="AF81" s="83"/>
      <c r="AG81" s="83"/>
      <c r="AH81" s="83"/>
      <c r="AI81" s="83" t="s">
        <v>2159</v>
      </c>
      <c r="AJ81" s="92">
        <v>41951.12425925926</v>
      </c>
      <c r="AK81" s="89" t="str">
        <f>HYPERLINK("https://yt3.ggpht.com/e_JrFg4XQQGv6es7_-W-E2e2IEMX-pJpZrfJxDLl0AetAx5EAVeH4MqtuzodCXX4DiNHBGEq=s88-c-k-c0x00ffffff-no-rj")</f>
        <v>https://yt3.ggpht.com/e_JrFg4XQQGv6es7_-W-E2e2IEMX-pJpZrfJxDLl0AetAx5EAVeH4MqtuzodCXX4DiNHBGEq=s88-c-k-c0x00ffffff-no-rj</v>
      </c>
      <c r="AL81" s="83">
        <v>76281</v>
      </c>
      <c r="AM81" s="83">
        <v>0</v>
      </c>
      <c r="AN81" s="83">
        <v>611</v>
      </c>
      <c r="AO81" s="83" t="b">
        <v>0</v>
      </c>
      <c r="AP81" s="83">
        <v>262</v>
      </c>
      <c r="AQ81" s="83"/>
      <c r="AR81" s="83"/>
      <c r="AS81" s="83" t="s">
        <v>2744</v>
      </c>
      <c r="AT81" s="89" t="str">
        <f>HYPERLINK("https://www.youtube.com/channel/UCb0dmZQAftj6Dl38bqpfZoQ")</f>
        <v>https://www.youtube.com/channel/UCb0dmZQAftj6Dl38bqpfZoQ</v>
      </c>
      <c r="AU81" s="83" t="str">
        <f>REPLACE(INDEX(GroupVertices[Group],MATCH(Vertices[[#This Row],[Vertex]],GroupVertices[Vertex],0)),1,1,"")</f>
        <v>19</v>
      </c>
      <c r="AV81" s="45"/>
      <c r="AW81" s="46"/>
      <c r="AX81" s="45"/>
      <c r="AY81" s="46"/>
      <c r="AZ81" s="45"/>
      <c r="BA81" s="46"/>
      <c r="BB81" s="45"/>
      <c r="BC81" s="46"/>
      <c r="BD81" s="45"/>
      <c r="BE81" s="110" t="s">
        <v>1874</v>
      </c>
      <c r="BF81" s="110" t="s">
        <v>1874</v>
      </c>
      <c r="BG81" s="110" t="s">
        <v>1874</v>
      </c>
      <c r="BH81" s="110" t="s">
        <v>1874</v>
      </c>
      <c r="BI81" s="2"/>
    </row>
    <row r="82" spans="1:61" ht="15">
      <c r="A82" s="61" t="s">
        <v>300</v>
      </c>
      <c r="B82" s="62" t="s">
        <v>2893</v>
      </c>
      <c r="C82" s="62"/>
      <c r="D82" s="63">
        <v>100</v>
      </c>
      <c r="E82" s="65">
        <v>50</v>
      </c>
      <c r="F82" s="100" t="str">
        <f>HYPERLINK("https://yt3.ggpht.com/AghHpiHlTrftJq7gA6wDmyxk2DL5yadt4mgq_bh63J6V3fKmoj9DRgao3KM1mJMaJ9vFnuDlHA=s88-c-k-c0x00ffffff-no-rj")</f>
        <v>https://yt3.ggpht.com/AghHpiHlTrftJq7gA6wDmyxk2DL5yadt4mgq_bh63J6V3fKmoj9DRgao3KM1mJMaJ9vFnuDlHA=s88-c-k-c0x00ffffff-no-rj</v>
      </c>
      <c r="G82" s="62"/>
      <c r="H82" s="66" t="s">
        <v>1138</v>
      </c>
      <c r="I82" s="67"/>
      <c r="J82" s="67" t="s">
        <v>159</v>
      </c>
      <c r="K82" s="66" t="s">
        <v>1138</v>
      </c>
      <c r="L82" s="70"/>
      <c r="M82" s="71">
        <v>8918.6552734375</v>
      </c>
      <c r="N82" s="71">
        <v>2626.141845703125</v>
      </c>
      <c r="O82" s="72"/>
      <c r="P82" s="73"/>
      <c r="Q82" s="73"/>
      <c r="R82" s="94"/>
      <c r="S82" s="45">
        <v>0</v>
      </c>
      <c r="T82" s="45">
        <v>1</v>
      </c>
      <c r="U82" s="46">
        <v>0</v>
      </c>
      <c r="V82" s="46">
        <v>0.003152</v>
      </c>
      <c r="W82" s="46">
        <v>0</v>
      </c>
      <c r="X82" s="46">
        <v>0.002144</v>
      </c>
      <c r="Y82" s="46">
        <v>0</v>
      </c>
      <c r="Z82" s="46">
        <v>0</v>
      </c>
      <c r="AA82" s="68">
        <v>82</v>
      </c>
      <c r="AB82" s="68"/>
      <c r="AC82" s="69"/>
      <c r="AD82" s="83" t="s">
        <v>1138</v>
      </c>
      <c r="AE82" s="83" t="s">
        <v>1955</v>
      </c>
      <c r="AF82" s="83"/>
      <c r="AG82" s="83"/>
      <c r="AH82" s="83"/>
      <c r="AI82" s="83" t="s">
        <v>2160</v>
      </c>
      <c r="AJ82" s="92">
        <v>44691.453206018516</v>
      </c>
      <c r="AK82" s="89" t="str">
        <f>HYPERLINK("https://yt3.ggpht.com/AghHpiHlTrftJq7gA6wDmyxk2DL5yadt4mgq_bh63J6V3fKmoj9DRgao3KM1mJMaJ9vFnuDlHA=s88-c-k-c0x00ffffff-no-rj")</f>
        <v>https://yt3.ggpht.com/AghHpiHlTrftJq7gA6wDmyxk2DL5yadt4mgq_bh63J6V3fKmoj9DRgao3KM1mJMaJ9vFnuDlHA=s88-c-k-c0x00ffffff-no-rj</v>
      </c>
      <c r="AL82" s="83">
        <v>39</v>
      </c>
      <c r="AM82" s="83">
        <v>0</v>
      </c>
      <c r="AN82" s="83">
        <v>9</v>
      </c>
      <c r="AO82" s="83" t="b">
        <v>0</v>
      </c>
      <c r="AP82" s="83">
        <v>4</v>
      </c>
      <c r="AQ82" s="83"/>
      <c r="AR82" s="83"/>
      <c r="AS82" s="83" t="s">
        <v>2744</v>
      </c>
      <c r="AT82" s="89" t="str">
        <f>HYPERLINK("https://www.youtube.com/channel/UCs8KfUDAdLWkqqGltG6mykQ")</f>
        <v>https://www.youtube.com/channel/UCs8KfUDAdLWkqqGltG6mykQ</v>
      </c>
      <c r="AU82" s="83" t="str">
        <f>REPLACE(INDEX(GroupVertices[Group],MATCH(Vertices[[#This Row],[Vertex]],GroupVertices[Vertex],0)),1,1,"")</f>
        <v>19</v>
      </c>
      <c r="AV82" s="45"/>
      <c r="AW82" s="46"/>
      <c r="AX82" s="45"/>
      <c r="AY82" s="46"/>
      <c r="AZ82" s="45"/>
      <c r="BA82" s="46"/>
      <c r="BB82" s="45"/>
      <c r="BC82" s="46"/>
      <c r="BD82" s="45"/>
      <c r="BE82" s="110" t="s">
        <v>1874</v>
      </c>
      <c r="BF82" s="110" t="s">
        <v>1874</v>
      </c>
      <c r="BG82" s="110" t="s">
        <v>1874</v>
      </c>
      <c r="BH82" s="110" t="s">
        <v>1874</v>
      </c>
      <c r="BI82" s="2"/>
    </row>
    <row r="83" spans="1:61" ht="15">
      <c r="A83" s="61" t="s">
        <v>301</v>
      </c>
      <c r="B83" s="62" t="s">
        <v>2893</v>
      </c>
      <c r="C83" s="62"/>
      <c r="D83" s="63">
        <v>100</v>
      </c>
      <c r="E83" s="65">
        <v>50</v>
      </c>
      <c r="F83" s="100" t="str">
        <f>HYPERLINK("https://yt3.ggpht.com/ytc/AGIKgqN8-96aUN-ttTgM7rsyuknRlvQMBpH3jNgdzw=s88-c-k-c0x00ffffff-no-rj")</f>
        <v>https://yt3.ggpht.com/ytc/AGIKgqN8-96aUN-ttTgM7rsyuknRlvQMBpH3jNgdzw=s88-c-k-c0x00ffffff-no-rj</v>
      </c>
      <c r="G83" s="62"/>
      <c r="H83" s="66" t="s">
        <v>1139</v>
      </c>
      <c r="I83" s="67"/>
      <c r="J83" s="67" t="s">
        <v>159</v>
      </c>
      <c r="K83" s="66" t="s">
        <v>1139</v>
      </c>
      <c r="L83" s="70"/>
      <c r="M83" s="71">
        <v>7215.03662109375</v>
      </c>
      <c r="N83" s="71">
        <v>5052.1630859375</v>
      </c>
      <c r="O83" s="72"/>
      <c r="P83" s="73"/>
      <c r="Q83" s="73"/>
      <c r="R83" s="94"/>
      <c r="S83" s="45">
        <v>0</v>
      </c>
      <c r="T83" s="45">
        <v>1</v>
      </c>
      <c r="U83" s="46">
        <v>0</v>
      </c>
      <c r="V83" s="46">
        <v>0.015445</v>
      </c>
      <c r="W83" s="46">
        <v>0</v>
      </c>
      <c r="X83" s="46">
        <v>0.00207</v>
      </c>
      <c r="Y83" s="46">
        <v>0</v>
      </c>
      <c r="Z83" s="46">
        <v>0</v>
      </c>
      <c r="AA83" s="68">
        <v>83</v>
      </c>
      <c r="AB83" s="68"/>
      <c r="AC83" s="69"/>
      <c r="AD83" s="83" t="s">
        <v>1139</v>
      </c>
      <c r="AE83" s="83"/>
      <c r="AF83" s="83"/>
      <c r="AG83" s="83"/>
      <c r="AH83" s="83"/>
      <c r="AI83" s="83" t="s">
        <v>2161</v>
      </c>
      <c r="AJ83" s="83" t="s">
        <v>2556</v>
      </c>
      <c r="AK83" s="89" t="str">
        <f>HYPERLINK("https://yt3.ggpht.com/ytc/AGIKgqN8-96aUN-ttTgM7rsyuknRlvQMBpH3jNgdzw=s88-c-k-c0x00ffffff-no-rj")</f>
        <v>https://yt3.ggpht.com/ytc/AGIKgqN8-96aUN-ttTgM7rsyuknRlvQMBpH3jNgdzw=s88-c-k-c0x00ffffff-no-rj</v>
      </c>
      <c r="AL83" s="83">
        <v>0</v>
      </c>
      <c r="AM83" s="83">
        <v>0</v>
      </c>
      <c r="AN83" s="83">
        <v>0</v>
      </c>
      <c r="AO83" s="83" t="b">
        <v>0</v>
      </c>
      <c r="AP83" s="83">
        <v>0</v>
      </c>
      <c r="AQ83" s="83"/>
      <c r="AR83" s="83"/>
      <c r="AS83" s="83" t="s">
        <v>2744</v>
      </c>
      <c r="AT83" s="89" t="str">
        <f>HYPERLINK("https://www.youtube.com/channel/UCJira_a5E9_Er33S-dLTXOQ")</f>
        <v>https://www.youtube.com/channel/UCJira_a5E9_Er33S-dLTXOQ</v>
      </c>
      <c r="AU83" s="83" t="str">
        <f>REPLACE(INDEX(GroupVertices[Group],MATCH(Vertices[[#This Row],[Vertex]],GroupVertices[Vertex],0)),1,1,"")</f>
        <v>10</v>
      </c>
      <c r="AV83" s="45"/>
      <c r="AW83" s="46"/>
      <c r="AX83" s="45"/>
      <c r="AY83" s="46"/>
      <c r="AZ83" s="45"/>
      <c r="BA83" s="46"/>
      <c r="BB83" s="45"/>
      <c r="BC83" s="46"/>
      <c r="BD83" s="45"/>
      <c r="BE83" s="110" t="s">
        <v>1874</v>
      </c>
      <c r="BF83" s="110" t="s">
        <v>1874</v>
      </c>
      <c r="BG83" s="110" t="s">
        <v>1874</v>
      </c>
      <c r="BH83" s="110" t="s">
        <v>1874</v>
      </c>
      <c r="BI83" s="2"/>
    </row>
    <row r="84" spans="1:61" ht="15">
      <c r="A84" s="61" t="s">
        <v>302</v>
      </c>
      <c r="B84" s="62" t="s">
        <v>2893</v>
      </c>
      <c r="C84" s="62"/>
      <c r="D84" s="63">
        <v>100</v>
      </c>
      <c r="E84" s="65">
        <v>50</v>
      </c>
      <c r="F84" s="100" t="str">
        <f>HYPERLINK("https://yt3.ggpht.com/ytc/AGIKgqOnO4CnXfSeknNcvbt2jXinX9XlJC3Uk5pcxc1BFw=s88-c-k-c0x00ffffff-no-rj")</f>
        <v>https://yt3.ggpht.com/ytc/AGIKgqOnO4CnXfSeknNcvbt2jXinX9XlJC3Uk5pcxc1BFw=s88-c-k-c0x00ffffff-no-rj</v>
      </c>
      <c r="G84" s="62"/>
      <c r="H84" s="66" t="s">
        <v>1140</v>
      </c>
      <c r="I84" s="67"/>
      <c r="J84" s="67" t="s">
        <v>159</v>
      </c>
      <c r="K84" s="66" t="s">
        <v>1140</v>
      </c>
      <c r="L84" s="70"/>
      <c r="M84" s="71">
        <v>8222.2490234375</v>
      </c>
      <c r="N84" s="71">
        <v>5550.708984375</v>
      </c>
      <c r="O84" s="72"/>
      <c r="P84" s="73"/>
      <c r="Q84" s="73"/>
      <c r="R84" s="94"/>
      <c r="S84" s="45">
        <v>0</v>
      </c>
      <c r="T84" s="45">
        <v>1</v>
      </c>
      <c r="U84" s="46">
        <v>0</v>
      </c>
      <c r="V84" s="46">
        <v>0.015445</v>
      </c>
      <c r="W84" s="46">
        <v>0</v>
      </c>
      <c r="X84" s="46">
        <v>0.00207</v>
      </c>
      <c r="Y84" s="46">
        <v>0</v>
      </c>
      <c r="Z84" s="46">
        <v>0</v>
      </c>
      <c r="AA84" s="68">
        <v>84</v>
      </c>
      <c r="AB84" s="68"/>
      <c r="AC84" s="69"/>
      <c r="AD84" s="83" t="s">
        <v>1140</v>
      </c>
      <c r="AE84" s="83"/>
      <c r="AF84" s="83"/>
      <c r="AG84" s="83"/>
      <c r="AH84" s="83"/>
      <c r="AI84" s="83" t="s">
        <v>2162</v>
      </c>
      <c r="AJ84" s="92">
        <v>41556.71428240741</v>
      </c>
      <c r="AK84" s="89" t="str">
        <f>HYPERLINK("https://yt3.ggpht.com/ytc/AGIKgqOnO4CnXfSeknNcvbt2jXinX9XlJC3Uk5pcxc1BFw=s88-c-k-c0x00ffffff-no-rj")</f>
        <v>https://yt3.ggpht.com/ytc/AGIKgqOnO4CnXfSeknNcvbt2jXinX9XlJC3Uk5pcxc1BFw=s88-c-k-c0x00ffffff-no-rj</v>
      </c>
      <c r="AL84" s="83">
        <v>0</v>
      </c>
      <c r="AM84" s="83">
        <v>0</v>
      </c>
      <c r="AN84" s="83">
        <v>220</v>
      </c>
      <c r="AO84" s="83" t="b">
        <v>0</v>
      </c>
      <c r="AP84" s="83">
        <v>0</v>
      </c>
      <c r="AQ84" s="83"/>
      <c r="AR84" s="83"/>
      <c r="AS84" s="83" t="s">
        <v>2744</v>
      </c>
      <c r="AT84" s="89" t="str">
        <f>HYPERLINK("https://www.youtube.com/channel/UCKdyxUtdVmwmDjyEbOkxc8Q")</f>
        <v>https://www.youtube.com/channel/UCKdyxUtdVmwmDjyEbOkxc8Q</v>
      </c>
      <c r="AU84" s="83" t="str">
        <f>REPLACE(INDEX(GroupVertices[Group],MATCH(Vertices[[#This Row],[Vertex]],GroupVertices[Vertex],0)),1,1,"")</f>
        <v>10</v>
      </c>
      <c r="AV84" s="45"/>
      <c r="AW84" s="46"/>
      <c r="AX84" s="45"/>
      <c r="AY84" s="46"/>
      <c r="AZ84" s="45"/>
      <c r="BA84" s="46"/>
      <c r="BB84" s="45"/>
      <c r="BC84" s="46"/>
      <c r="BD84" s="45"/>
      <c r="BE84" s="110" t="s">
        <v>1874</v>
      </c>
      <c r="BF84" s="110" t="s">
        <v>1874</v>
      </c>
      <c r="BG84" s="110" t="s">
        <v>1874</v>
      </c>
      <c r="BH84" s="110" t="s">
        <v>1874</v>
      </c>
      <c r="BI84" s="2"/>
    </row>
    <row r="85" spans="1:61" ht="15">
      <c r="A85" s="61" t="s">
        <v>303</v>
      </c>
      <c r="B85" s="62" t="s">
        <v>2893</v>
      </c>
      <c r="C85" s="62"/>
      <c r="D85" s="63">
        <v>100</v>
      </c>
      <c r="E85" s="65">
        <v>50</v>
      </c>
      <c r="F85" s="100" t="str">
        <f>HYPERLINK("https://yt3.ggpht.com/ytc/AGIKgqOT7KLuQI3b_TtaYwjacjJPYC5Ry4OTC8Fyh-pW=s88-c-k-c0x00ffffff-no-rj")</f>
        <v>https://yt3.ggpht.com/ytc/AGIKgqOT7KLuQI3b_TtaYwjacjJPYC5Ry4OTC8Fyh-pW=s88-c-k-c0x00ffffff-no-rj</v>
      </c>
      <c r="G85" s="62"/>
      <c r="H85" s="66" t="s">
        <v>1141</v>
      </c>
      <c r="I85" s="67"/>
      <c r="J85" s="67" t="s">
        <v>159</v>
      </c>
      <c r="K85" s="66" t="s">
        <v>1141</v>
      </c>
      <c r="L85" s="70"/>
      <c r="M85" s="71">
        <v>7886.51220703125</v>
      </c>
      <c r="N85" s="71">
        <v>5550.708984375</v>
      </c>
      <c r="O85" s="72"/>
      <c r="P85" s="73"/>
      <c r="Q85" s="73"/>
      <c r="R85" s="94"/>
      <c r="S85" s="45">
        <v>0</v>
      </c>
      <c r="T85" s="45">
        <v>1</v>
      </c>
      <c r="U85" s="46">
        <v>0</v>
      </c>
      <c r="V85" s="46">
        <v>0.015445</v>
      </c>
      <c r="W85" s="46">
        <v>0</v>
      </c>
      <c r="X85" s="46">
        <v>0.00207</v>
      </c>
      <c r="Y85" s="46">
        <v>0</v>
      </c>
      <c r="Z85" s="46">
        <v>0</v>
      </c>
      <c r="AA85" s="68">
        <v>85</v>
      </c>
      <c r="AB85" s="68"/>
      <c r="AC85" s="69"/>
      <c r="AD85" s="83" t="s">
        <v>1141</v>
      </c>
      <c r="AE85" s="83" t="s">
        <v>1956</v>
      </c>
      <c r="AF85" s="83"/>
      <c r="AG85" s="83"/>
      <c r="AH85" s="83"/>
      <c r="AI85" s="83" t="s">
        <v>2163</v>
      </c>
      <c r="AJ85" s="83" t="s">
        <v>2557</v>
      </c>
      <c r="AK85" s="89" t="str">
        <f>HYPERLINK("https://yt3.ggpht.com/ytc/AGIKgqOT7KLuQI3b_TtaYwjacjJPYC5Ry4OTC8Fyh-pW=s88-c-k-c0x00ffffff-no-rj")</f>
        <v>https://yt3.ggpht.com/ytc/AGIKgqOT7KLuQI3b_TtaYwjacjJPYC5Ry4OTC8Fyh-pW=s88-c-k-c0x00ffffff-no-rj</v>
      </c>
      <c r="AL85" s="83">
        <v>60209</v>
      </c>
      <c r="AM85" s="83">
        <v>0</v>
      </c>
      <c r="AN85" s="83">
        <v>751</v>
      </c>
      <c r="AO85" s="83" t="b">
        <v>0</v>
      </c>
      <c r="AP85" s="83">
        <v>366</v>
      </c>
      <c r="AQ85" s="83"/>
      <c r="AR85" s="83"/>
      <c r="AS85" s="83" t="s">
        <v>2744</v>
      </c>
      <c r="AT85" s="89" t="str">
        <f>HYPERLINK("https://www.youtube.com/channel/UCvN1q4Dzs91ltXmTQndq7Lw")</f>
        <v>https://www.youtube.com/channel/UCvN1q4Dzs91ltXmTQndq7Lw</v>
      </c>
      <c r="AU85" s="83" t="str">
        <f>REPLACE(INDEX(GroupVertices[Group],MATCH(Vertices[[#This Row],[Vertex]],GroupVertices[Vertex],0)),1,1,"")</f>
        <v>10</v>
      </c>
      <c r="AV85" s="45"/>
      <c r="AW85" s="46"/>
      <c r="AX85" s="45"/>
      <c r="AY85" s="46"/>
      <c r="AZ85" s="45"/>
      <c r="BA85" s="46"/>
      <c r="BB85" s="45"/>
      <c r="BC85" s="46"/>
      <c r="BD85" s="45"/>
      <c r="BE85" s="110" t="s">
        <v>1874</v>
      </c>
      <c r="BF85" s="110" t="s">
        <v>1874</v>
      </c>
      <c r="BG85" s="110" t="s">
        <v>1874</v>
      </c>
      <c r="BH85" s="110" t="s">
        <v>1874</v>
      </c>
      <c r="BI85" s="2"/>
    </row>
    <row r="86" spans="1:61" ht="15">
      <c r="A86" s="61" t="s">
        <v>304</v>
      </c>
      <c r="B86" s="62" t="s">
        <v>2893</v>
      </c>
      <c r="C86" s="62"/>
      <c r="D86" s="63">
        <v>100</v>
      </c>
      <c r="E86" s="65">
        <v>50</v>
      </c>
      <c r="F86" s="100" t="str">
        <f>HYPERLINK("https://yt3.ggpht.com/DZCYh33T2rm3x3NgV_4LcTZ5E45CPTpXnYTxHVxM5LzidsmE0feB8cm9jSBun0mL_ScFOnh2fA=s88-c-k-c0x00ffffff-no-rj")</f>
        <v>https://yt3.ggpht.com/DZCYh33T2rm3x3NgV_4LcTZ5E45CPTpXnYTxHVxM5LzidsmE0feB8cm9jSBun0mL_ScFOnh2fA=s88-c-k-c0x00ffffff-no-rj</v>
      </c>
      <c r="G86" s="62"/>
      <c r="H86" s="66" t="s">
        <v>1142</v>
      </c>
      <c r="I86" s="67"/>
      <c r="J86" s="67" t="s">
        <v>159</v>
      </c>
      <c r="K86" s="66" t="s">
        <v>1142</v>
      </c>
      <c r="L86" s="70"/>
      <c r="M86" s="71">
        <v>7550.77392578125</v>
      </c>
      <c r="N86" s="71">
        <v>5550.708984375</v>
      </c>
      <c r="O86" s="72"/>
      <c r="P86" s="73"/>
      <c r="Q86" s="73"/>
      <c r="R86" s="94"/>
      <c r="S86" s="45">
        <v>0</v>
      </c>
      <c r="T86" s="45">
        <v>1</v>
      </c>
      <c r="U86" s="46">
        <v>0</v>
      </c>
      <c r="V86" s="46">
        <v>0.015445</v>
      </c>
      <c r="W86" s="46">
        <v>0</v>
      </c>
      <c r="X86" s="46">
        <v>0.00207</v>
      </c>
      <c r="Y86" s="46">
        <v>0</v>
      </c>
      <c r="Z86" s="46">
        <v>0</v>
      </c>
      <c r="AA86" s="68">
        <v>86</v>
      </c>
      <c r="AB86" s="68"/>
      <c r="AC86" s="69"/>
      <c r="AD86" s="83" t="s">
        <v>1142</v>
      </c>
      <c r="AE86" s="83" t="s">
        <v>1957</v>
      </c>
      <c r="AF86" s="83"/>
      <c r="AG86" s="83"/>
      <c r="AH86" s="83"/>
      <c r="AI86" s="83" t="s">
        <v>2164</v>
      </c>
      <c r="AJ86" s="92">
        <v>41710.828368055554</v>
      </c>
      <c r="AK86" s="89" t="str">
        <f>HYPERLINK("https://yt3.ggpht.com/DZCYh33T2rm3x3NgV_4LcTZ5E45CPTpXnYTxHVxM5LzidsmE0feB8cm9jSBun0mL_ScFOnh2fA=s88-c-k-c0x00ffffff-no-rj")</f>
        <v>https://yt3.ggpht.com/DZCYh33T2rm3x3NgV_4LcTZ5E45CPTpXnYTxHVxM5LzidsmE0feB8cm9jSBun0mL_ScFOnh2fA=s88-c-k-c0x00ffffff-no-rj</v>
      </c>
      <c r="AL86" s="83">
        <v>3562</v>
      </c>
      <c r="AM86" s="83">
        <v>0</v>
      </c>
      <c r="AN86" s="83">
        <v>223</v>
      </c>
      <c r="AO86" s="83" t="b">
        <v>0</v>
      </c>
      <c r="AP86" s="83">
        <v>4</v>
      </c>
      <c r="AQ86" s="83"/>
      <c r="AR86" s="83"/>
      <c r="AS86" s="83" t="s">
        <v>2744</v>
      </c>
      <c r="AT86" s="89" t="str">
        <f>HYPERLINK("https://www.youtube.com/channel/UC_I1UfRImmzpJVCelpwYghQ")</f>
        <v>https://www.youtube.com/channel/UC_I1UfRImmzpJVCelpwYghQ</v>
      </c>
      <c r="AU86" s="83" t="str">
        <f>REPLACE(INDEX(GroupVertices[Group],MATCH(Vertices[[#This Row],[Vertex]],GroupVertices[Vertex],0)),1,1,"")</f>
        <v>10</v>
      </c>
      <c r="AV86" s="45"/>
      <c r="AW86" s="46"/>
      <c r="AX86" s="45"/>
      <c r="AY86" s="46"/>
      <c r="AZ86" s="45"/>
      <c r="BA86" s="46"/>
      <c r="BB86" s="45"/>
      <c r="BC86" s="46"/>
      <c r="BD86" s="45"/>
      <c r="BE86" s="110" t="s">
        <v>1874</v>
      </c>
      <c r="BF86" s="110" t="s">
        <v>1874</v>
      </c>
      <c r="BG86" s="110" t="s">
        <v>1874</v>
      </c>
      <c r="BH86" s="110" t="s">
        <v>1874</v>
      </c>
      <c r="BI86" s="2"/>
    </row>
    <row r="87" spans="1:61" ht="15">
      <c r="A87" s="61" t="s">
        <v>305</v>
      </c>
      <c r="B87" s="62" t="s">
        <v>2893</v>
      </c>
      <c r="C87" s="62"/>
      <c r="D87" s="63">
        <v>100</v>
      </c>
      <c r="E87" s="65">
        <v>50</v>
      </c>
      <c r="F87" s="100" t="str">
        <f>HYPERLINK("https://yt3.ggpht.com/ytc/AGIKgqO-Qvw9N-7QzPZlFopzBjqekroH_aLyU7IshLn16jBurxoIx6zhjugsB4EvfNIZ=s88-c-k-c0x00ffffff-no-rj")</f>
        <v>https://yt3.ggpht.com/ytc/AGIKgqO-Qvw9N-7QzPZlFopzBjqekroH_aLyU7IshLn16jBurxoIx6zhjugsB4EvfNIZ=s88-c-k-c0x00ffffff-no-rj</v>
      </c>
      <c r="G87" s="62"/>
      <c r="H87" s="66" t="s">
        <v>1143</v>
      </c>
      <c r="I87" s="67"/>
      <c r="J87" s="67" t="s">
        <v>159</v>
      </c>
      <c r="K87" s="66" t="s">
        <v>1143</v>
      </c>
      <c r="L87" s="70"/>
      <c r="M87" s="71">
        <v>7215.03662109375</v>
      </c>
      <c r="N87" s="71">
        <v>5550.708984375</v>
      </c>
      <c r="O87" s="72"/>
      <c r="P87" s="73"/>
      <c r="Q87" s="73"/>
      <c r="R87" s="94"/>
      <c r="S87" s="45">
        <v>0</v>
      </c>
      <c r="T87" s="45">
        <v>1</v>
      </c>
      <c r="U87" s="46">
        <v>0</v>
      </c>
      <c r="V87" s="46">
        <v>0.015445</v>
      </c>
      <c r="W87" s="46">
        <v>0</v>
      </c>
      <c r="X87" s="46">
        <v>0.00207</v>
      </c>
      <c r="Y87" s="46">
        <v>0</v>
      </c>
      <c r="Z87" s="46">
        <v>0</v>
      </c>
      <c r="AA87" s="68">
        <v>87</v>
      </c>
      <c r="AB87" s="68"/>
      <c r="AC87" s="69"/>
      <c r="AD87" s="83" t="s">
        <v>1143</v>
      </c>
      <c r="AE87" s="83"/>
      <c r="AF87" s="83"/>
      <c r="AG87" s="83"/>
      <c r="AH87" s="83"/>
      <c r="AI87" s="83" t="s">
        <v>2165</v>
      </c>
      <c r="AJ87" s="83" t="s">
        <v>2558</v>
      </c>
      <c r="AK87" s="89" t="str">
        <f>HYPERLINK("https://yt3.ggpht.com/ytc/AGIKgqO-Qvw9N-7QzPZlFopzBjqekroH_aLyU7IshLn16jBurxoIx6zhjugsB4EvfNIZ=s88-c-k-c0x00ffffff-no-rj")</f>
        <v>https://yt3.ggpht.com/ytc/AGIKgqO-Qvw9N-7QzPZlFopzBjqekroH_aLyU7IshLn16jBurxoIx6zhjugsB4EvfNIZ=s88-c-k-c0x00ffffff-no-rj</v>
      </c>
      <c r="AL87" s="83">
        <v>0</v>
      </c>
      <c r="AM87" s="83">
        <v>0</v>
      </c>
      <c r="AN87" s="83">
        <v>3</v>
      </c>
      <c r="AO87" s="83" t="b">
        <v>0</v>
      </c>
      <c r="AP87" s="83">
        <v>0</v>
      </c>
      <c r="AQ87" s="83"/>
      <c r="AR87" s="83"/>
      <c r="AS87" s="83" t="s">
        <v>2744</v>
      </c>
      <c r="AT87" s="89" t="str">
        <f>HYPERLINK("https://www.youtube.com/channel/UCaaT9I_B8FulJiudAwFFRKA")</f>
        <v>https://www.youtube.com/channel/UCaaT9I_B8FulJiudAwFFRKA</v>
      </c>
      <c r="AU87" s="83" t="str">
        <f>REPLACE(INDEX(GroupVertices[Group],MATCH(Vertices[[#This Row],[Vertex]],GroupVertices[Vertex],0)),1,1,"")</f>
        <v>10</v>
      </c>
      <c r="AV87" s="45"/>
      <c r="AW87" s="46"/>
      <c r="AX87" s="45"/>
      <c r="AY87" s="46"/>
      <c r="AZ87" s="45"/>
      <c r="BA87" s="46"/>
      <c r="BB87" s="45"/>
      <c r="BC87" s="46"/>
      <c r="BD87" s="45"/>
      <c r="BE87" s="110" t="s">
        <v>1874</v>
      </c>
      <c r="BF87" s="110" t="s">
        <v>1874</v>
      </c>
      <c r="BG87" s="110" t="s">
        <v>1874</v>
      </c>
      <c r="BH87" s="110" t="s">
        <v>1874</v>
      </c>
      <c r="BI87" s="2"/>
    </row>
    <row r="88" spans="1:61" ht="15">
      <c r="A88" s="61" t="s">
        <v>306</v>
      </c>
      <c r="B88" s="62" t="s">
        <v>2893</v>
      </c>
      <c r="C88" s="62"/>
      <c r="D88" s="63">
        <v>100</v>
      </c>
      <c r="E88" s="65">
        <v>50</v>
      </c>
      <c r="F88" s="100" t="str">
        <f>HYPERLINK("https://yt3.ggpht.com/q2ywgz2G0id9z8W1aET8Cprbp43XKbX17C4TEnFoZuKiK1NUsWc70sYaC0p2_XxMYNEVtu4BtA=s88-c-k-c0x00ffffff-no-rj")</f>
        <v>https://yt3.ggpht.com/q2ywgz2G0id9z8W1aET8Cprbp43XKbX17C4TEnFoZuKiK1NUsWc70sYaC0p2_XxMYNEVtu4BtA=s88-c-k-c0x00ffffff-no-rj</v>
      </c>
      <c r="G88" s="62"/>
      <c r="H88" s="66" t="s">
        <v>1144</v>
      </c>
      <c r="I88" s="67"/>
      <c r="J88" s="67" t="s">
        <v>159</v>
      </c>
      <c r="K88" s="66" t="s">
        <v>1144</v>
      </c>
      <c r="L88" s="70"/>
      <c r="M88" s="71">
        <v>8222.2490234375</v>
      </c>
      <c r="N88" s="71">
        <v>6049.25439453125</v>
      </c>
      <c r="O88" s="72"/>
      <c r="P88" s="73"/>
      <c r="Q88" s="73"/>
      <c r="R88" s="94"/>
      <c r="S88" s="45">
        <v>0</v>
      </c>
      <c r="T88" s="45">
        <v>1</v>
      </c>
      <c r="U88" s="46">
        <v>0</v>
      </c>
      <c r="V88" s="46">
        <v>0.015445</v>
      </c>
      <c r="W88" s="46">
        <v>0</v>
      </c>
      <c r="X88" s="46">
        <v>0.00207</v>
      </c>
      <c r="Y88" s="46">
        <v>0</v>
      </c>
      <c r="Z88" s="46">
        <v>0</v>
      </c>
      <c r="AA88" s="68">
        <v>88</v>
      </c>
      <c r="AB88" s="68"/>
      <c r="AC88" s="69"/>
      <c r="AD88" s="83" t="s">
        <v>1144</v>
      </c>
      <c r="AE88" s="83"/>
      <c r="AF88" s="83"/>
      <c r="AG88" s="83"/>
      <c r="AH88" s="83"/>
      <c r="AI88" s="83" t="s">
        <v>2166</v>
      </c>
      <c r="AJ88" s="83" t="s">
        <v>2559</v>
      </c>
      <c r="AK88" s="89" t="str">
        <f>HYPERLINK("https://yt3.ggpht.com/q2ywgz2G0id9z8W1aET8Cprbp43XKbX17C4TEnFoZuKiK1NUsWc70sYaC0p2_XxMYNEVtu4BtA=s88-c-k-c0x00ffffff-no-rj")</f>
        <v>https://yt3.ggpht.com/q2ywgz2G0id9z8W1aET8Cprbp43XKbX17C4TEnFoZuKiK1NUsWc70sYaC0p2_XxMYNEVtu4BtA=s88-c-k-c0x00ffffff-no-rj</v>
      </c>
      <c r="AL88" s="83">
        <v>0</v>
      </c>
      <c r="AM88" s="83">
        <v>0</v>
      </c>
      <c r="AN88" s="83">
        <v>19</v>
      </c>
      <c r="AO88" s="83" t="b">
        <v>0</v>
      </c>
      <c r="AP88" s="83">
        <v>0</v>
      </c>
      <c r="AQ88" s="83"/>
      <c r="AR88" s="83"/>
      <c r="AS88" s="83" t="s">
        <v>2744</v>
      </c>
      <c r="AT88" s="89" t="str">
        <f>HYPERLINK("https://www.youtube.com/channel/UCt1cvk83Ici3SgAyvL6o29A")</f>
        <v>https://www.youtube.com/channel/UCt1cvk83Ici3SgAyvL6o29A</v>
      </c>
      <c r="AU88" s="83" t="str">
        <f>REPLACE(INDEX(GroupVertices[Group],MATCH(Vertices[[#This Row],[Vertex]],GroupVertices[Vertex],0)),1,1,"")</f>
        <v>10</v>
      </c>
      <c r="AV88" s="45"/>
      <c r="AW88" s="46"/>
      <c r="AX88" s="45"/>
      <c r="AY88" s="46"/>
      <c r="AZ88" s="45"/>
      <c r="BA88" s="46"/>
      <c r="BB88" s="45"/>
      <c r="BC88" s="46"/>
      <c r="BD88" s="45"/>
      <c r="BE88" s="110" t="s">
        <v>1874</v>
      </c>
      <c r="BF88" s="110" t="s">
        <v>1874</v>
      </c>
      <c r="BG88" s="110" t="s">
        <v>1874</v>
      </c>
      <c r="BH88" s="110" t="s">
        <v>1874</v>
      </c>
      <c r="BI88" s="2"/>
    </row>
    <row r="89" spans="1:61" ht="15">
      <c r="A89" s="61" t="s">
        <v>307</v>
      </c>
      <c r="B89" s="62" t="s">
        <v>2893</v>
      </c>
      <c r="C89" s="62"/>
      <c r="D89" s="63">
        <v>100</v>
      </c>
      <c r="E89" s="65">
        <v>50</v>
      </c>
      <c r="F89" s="100" t="str">
        <f>HYPERLINK("https://yt3.ggpht.com/Ya67pFkYSoZaUj3igS3dFSfIMN3JIqf9uaS11OZYPFf1-guLFomNX4cHiHFmoe2Q5Lg0_M4uYQ=s88-c-k-c0x00ffffff-no-rj")</f>
        <v>https://yt3.ggpht.com/Ya67pFkYSoZaUj3igS3dFSfIMN3JIqf9uaS11OZYPFf1-guLFomNX4cHiHFmoe2Q5Lg0_M4uYQ=s88-c-k-c0x00ffffff-no-rj</v>
      </c>
      <c r="G89" s="62"/>
      <c r="H89" s="66" t="s">
        <v>1145</v>
      </c>
      <c r="I89" s="67"/>
      <c r="J89" s="67" t="s">
        <v>159</v>
      </c>
      <c r="K89" s="66" t="s">
        <v>1145</v>
      </c>
      <c r="L89" s="70"/>
      <c r="M89" s="71">
        <v>7886.51220703125</v>
      </c>
      <c r="N89" s="71">
        <v>6049.25439453125</v>
      </c>
      <c r="O89" s="72"/>
      <c r="P89" s="73"/>
      <c r="Q89" s="73"/>
      <c r="R89" s="94"/>
      <c r="S89" s="45">
        <v>0</v>
      </c>
      <c r="T89" s="45">
        <v>1</v>
      </c>
      <c r="U89" s="46">
        <v>0</v>
      </c>
      <c r="V89" s="46">
        <v>0.015445</v>
      </c>
      <c r="W89" s="46">
        <v>0</v>
      </c>
      <c r="X89" s="46">
        <v>0.00207</v>
      </c>
      <c r="Y89" s="46">
        <v>0</v>
      </c>
      <c r="Z89" s="46">
        <v>0</v>
      </c>
      <c r="AA89" s="68">
        <v>89</v>
      </c>
      <c r="AB89" s="68"/>
      <c r="AC89" s="69"/>
      <c r="AD89" s="83" t="s">
        <v>1145</v>
      </c>
      <c r="AE89" s="83"/>
      <c r="AF89" s="83"/>
      <c r="AG89" s="83"/>
      <c r="AH89" s="83"/>
      <c r="AI89" s="83" t="s">
        <v>2167</v>
      </c>
      <c r="AJ89" s="92">
        <v>40488.78944444445</v>
      </c>
      <c r="AK89" s="89" t="str">
        <f>HYPERLINK("https://yt3.ggpht.com/Ya67pFkYSoZaUj3igS3dFSfIMN3JIqf9uaS11OZYPFf1-guLFomNX4cHiHFmoe2Q5Lg0_M4uYQ=s88-c-k-c0x00ffffff-no-rj")</f>
        <v>https://yt3.ggpht.com/Ya67pFkYSoZaUj3igS3dFSfIMN3JIqf9uaS11OZYPFf1-guLFomNX4cHiHFmoe2Q5Lg0_M4uYQ=s88-c-k-c0x00ffffff-no-rj</v>
      </c>
      <c r="AL89" s="83">
        <v>1307</v>
      </c>
      <c r="AM89" s="83">
        <v>0</v>
      </c>
      <c r="AN89" s="83">
        <v>37</v>
      </c>
      <c r="AO89" s="83" t="b">
        <v>0</v>
      </c>
      <c r="AP89" s="83">
        <v>14</v>
      </c>
      <c r="AQ89" s="83"/>
      <c r="AR89" s="83"/>
      <c r="AS89" s="83" t="s">
        <v>2744</v>
      </c>
      <c r="AT89" s="89" t="str">
        <f>HYPERLINK("https://www.youtube.com/channel/UC7rS5qZMorW-N_t3ZlZV2jQ")</f>
        <v>https://www.youtube.com/channel/UC7rS5qZMorW-N_t3ZlZV2jQ</v>
      </c>
      <c r="AU89" s="83" t="str">
        <f>REPLACE(INDEX(GroupVertices[Group],MATCH(Vertices[[#This Row],[Vertex]],GroupVertices[Vertex],0)),1,1,"")</f>
        <v>10</v>
      </c>
      <c r="AV89" s="45"/>
      <c r="AW89" s="46"/>
      <c r="AX89" s="45"/>
      <c r="AY89" s="46"/>
      <c r="AZ89" s="45"/>
      <c r="BA89" s="46"/>
      <c r="BB89" s="45"/>
      <c r="BC89" s="46"/>
      <c r="BD89" s="45"/>
      <c r="BE89" s="110" t="s">
        <v>1874</v>
      </c>
      <c r="BF89" s="110" t="s">
        <v>1874</v>
      </c>
      <c r="BG89" s="110" t="s">
        <v>1874</v>
      </c>
      <c r="BH89" s="110" t="s">
        <v>1874</v>
      </c>
      <c r="BI89" s="2"/>
    </row>
    <row r="90" spans="1:61" ht="15">
      <c r="A90" s="61" t="s">
        <v>308</v>
      </c>
      <c r="B90" s="62" t="s">
        <v>2893</v>
      </c>
      <c r="C90" s="62"/>
      <c r="D90" s="63">
        <v>100</v>
      </c>
      <c r="E90" s="65">
        <v>50</v>
      </c>
      <c r="F90" s="100" t="str">
        <f>HYPERLINK("https://yt3.ggpht.com/GtujNyQIF0__eWKZBReu2LVpvejzekbwqS5pEkFttw1jz-ZBukTZwLs-aMd1oxNqBvXydLYOfQ=s88-c-k-c0x00ffffff-no-rj")</f>
        <v>https://yt3.ggpht.com/GtujNyQIF0__eWKZBReu2LVpvejzekbwqS5pEkFttw1jz-ZBukTZwLs-aMd1oxNqBvXydLYOfQ=s88-c-k-c0x00ffffff-no-rj</v>
      </c>
      <c r="G90" s="62"/>
      <c r="H90" s="66" t="s">
        <v>1146</v>
      </c>
      <c r="I90" s="67"/>
      <c r="J90" s="67" t="s">
        <v>159</v>
      </c>
      <c r="K90" s="66" t="s">
        <v>1146</v>
      </c>
      <c r="L90" s="70"/>
      <c r="M90" s="71">
        <v>7550.77392578125</v>
      </c>
      <c r="N90" s="71">
        <v>6049.25439453125</v>
      </c>
      <c r="O90" s="72"/>
      <c r="P90" s="73"/>
      <c r="Q90" s="73"/>
      <c r="R90" s="94"/>
      <c r="S90" s="45">
        <v>0</v>
      </c>
      <c r="T90" s="45">
        <v>1</v>
      </c>
      <c r="U90" s="46">
        <v>0</v>
      </c>
      <c r="V90" s="46">
        <v>0.015445</v>
      </c>
      <c r="W90" s="46">
        <v>0</v>
      </c>
      <c r="X90" s="46">
        <v>0.00207</v>
      </c>
      <c r="Y90" s="46">
        <v>0</v>
      </c>
      <c r="Z90" s="46">
        <v>0</v>
      </c>
      <c r="AA90" s="68">
        <v>90</v>
      </c>
      <c r="AB90" s="68"/>
      <c r="AC90" s="69"/>
      <c r="AD90" s="83" t="s">
        <v>1146</v>
      </c>
      <c r="AE90" s="83"/>
      <c r="AF90" s="83"/>
      <c r="AG90" s="83"/>
      <c r="AH90" s="83"/>
      <c r="AI90" s="83" t="s">
        <v>2168</v>
      </c>
      <c r="AJ90" s="92">
        <v>41979.77684027778</v>
      </c>
      <c r="AK90" s="89" t="str">
        <f>HYPERLINK("https://yt3.ggpht.com/GtujNyQIF0__eWKZBReu2LVpvejzekbwqS5pEkFttw1jz-ZBukTZwLs-aMd1oxNqBvXydLYOfQ=s88-c-k-c0x00ffffff-no-rj")</f>
        <v>https://yt3.ggpht.com/GtujNyQIF0__eWKZBReu2LVpvejzekbwqS5pEkFttw1jz-ZBukTZwLs-aMd1oxNqBvXydLYOfQ=s88-c-k-c0x00ffffff-no-rj</v>
      </c>
      <c r="AL90" s="83">
        <v>0</v>
      </c>
      <c r="AM90" s="83">
        <v>0</v>
      </c>
      <c r="AN90" s="83">
        <v>4</v>
      </c>
      <c r="AO90" s="83" t="b">
        <v>0</v>
      </c>
      <c r="AP90" s="83">
        <v>0</v>
      </c>
      <c r="AQ90" s="83"/>
      <c r="AR90" s="83"/>
      <c r="AS90" s="83" t="s">
        <v>2744</v>
      </c>
      <c r="AT90" s="89" t="str">
        <f>HYPERLINK("https://www.youtube.com/channel/UCP8qyHZSfBimaVpysHmHsEA")</f>
        <v>https://www.youtube.com/channel/UCP8qyHZSfBimaVpysHmHsEA</v>
      </c>
      <c r="AU90" s="83" t="str">
        <f>REPLACE(INDEX(GroupVertices[Group],MATCH(Vertices[[#This Row],[Vertex]],GroupVertices[Vertex],0)),1,1,"")</f>
        <v>10</v>
      </c>
      <c r="AV90" s="45"/>
      <c r="AW90" s="46"/>
      <c r="AX90" s="45"/>
      <c r="AY90" s="46"/>
      <c r="AZ90" s="45"/>
      <c r="BA90" s="46"/>
      <c r="BB90" s="45"/>
      <c r="BC90" s="46"/>
      <c r="BD90" s="45"/>
      <c r="BE90" s="110" t="s">
        <v>1874</v>
      </c>
      <c r="BF90" s="110" t="s">
        <v>1874</v>
      </c>
      <c r="BG90" s="110" t="s">
        <v>1874</v>
      </c>
      <c r="BH90" s="110" t="s">
        <v>1874</v>
      </c>
      <c r="BI90" s="2"/>
    </row>
    <row r="91" spans="1:61" ht="15">
      <c r="A91" s="61" t="s">
        <v>309</v>
      </c>
      <c r="B91" s="62" t="s">
        <v>2893</v>
      </c>
      <c r="C91" s="62"/>
      <c r="D91" s="63">
        <v>100</v>
      </c>
      <c r="E91" s="65">
        <v>50</v>
      </c>
      <c r="F91" s="100" t="str">
        <f>HYPERLINK("https://yt3.ggpht.com/ytc/AGIKgqNId1PGcRX2d1qVysGlpxXzLQsAlBYasdD7=s88-c-k-c0x00ffffff-no-rj")</f>
        <v>https://yt3.ggpht.com/ytc/AGIKgqNId1PGcRX2d1qVysGlpxXzLQsAlBYasdD7=s88-c-k-c0x00ffffff-no-rj</v>
      </c>
      <c r="G91" s="62"/>
      <c r="H91" s="66" t="s">
        <v>1147</v>
      </c>
      <c r="I91" s="67"/>
      <c r="J91" s="67" t="s">
        <v>159</v>
      </c>
      <c r="K91" s="66" t="s">
        <v>1147</v>
      </c>
      <c r="L91" s="70"/>
      <c r="M91" s="71">
        <v>7215.03662109375</v>
      </c>
      <c r="N91" s="71">
        <v>6049.25439453125</v>
      </c>
      <c r="O91" s="72"/>
      <c r="P91" s="73"/>
      <c r="Q91" s="73"/>
      <c r="R91" s="94"/>
      <c r="S91" s="45">
        <v>0</v>
      </c>
      <c r="T91" s="45">
        <v>1</v>
      </c>
      <c r="U91" s="46">
        <v>0</v>
      </c>
      <c r="V91" s="46">
        <v>0.015445</v>
      </c>
      <c r="W91" s="46">
        <v>0</v>
      </c>
      <c r="X91" s="46">
        <v>0.00207</v>
      </c>
      <c r="Y91" s="46">
        <v>0</v>
      </c>
      <c r="Z91" s="46">
        <v>0</v>
      </c>
      <c r="AA91" s="68">
        <v>91</v>
      </c>
      <c r="AB91" s="68"/>
      <c r="AC91" s="69"/>
      <c r="AD91" s="83" t="s">
        <v>1147</v>
      </c>
      <c r="AE91" s="83"/>
      <c r="AF91" s="83"/>
      <c r="AG91" s="83"/>
      <c r="AH91" s="83"/>
      <c r="AI91" s="83" t="s">
        <v>2169</v>
      </c>
      <c r="AJ91" s="92">
        <v>44055.968680555554</v>
      </c>
      <c r="AK91" s="89" t="str">
        <f>HYPERLINK("https://yt3.ggpht.com/ytc/AGIKgqNId1PGcRX2d1qVysGlpxXzLQsAlBYasdD7=s88-c-k-c0x00ffffff-no-rj")</f>
        <v>https://yt3.ggpht.com/ytc/AGIKgqNId1PGcRX2d1qVysGlpxXzLQsAlBYasdD7=s88-c-k-c0x00ffffff-no-rj</v>
      </c>
      <c r="AL91" s="83">
        <v>0</v>
      </c>
      <c r="AM91" s="83">
        <v>0</v>
      </c>
      <c r="AN91" s="83">
        <v>1</v>
      </c>
      <c r="AO91" s="83" t="b">
        <v>0</v>
      </c>
      <c r="AP91" s="83">
        <v>0</v>
      </c>
      <c r="AQ91" s="83"/>
      <c r="AR91" s="83"/>
      <c r="AS91" s="83" t="s">
        <v>2744</v>
      </c>
      <c r="AT91" s="89" t="str">
        <f>HYPERLINK("https://www.youtube.com/channel/UCtYoFY3SljQgjmHSzsxZYww")</f>
        <v>https://www.youtube.com/channel/UCtYoFY3SljQgjmHSzsxZYww</v>
      </c>
      <c r="AU91" s="83" t="str">
        <f>REPLACE(INDEX(GroupVertices[Group],MATCH(Vertices[[#This Row],[Vertex]],GroupVertices[Vertex],0)),1,1,"")</f>
        <v>10</v>
      </c>
      <c r="AV91" s="45"/>
      <c r="AW91" s="46"/>
      <c r="AX91" s="45"/>
      <c r="AY91" s="46"/>
      <c r="AZ91" s="45"/>
      <c r="BA91" s="46"/>
      <c r="BB91" s="45"/>
      <c r="BC91" s="46"/>
      <c r="BD91" s="45"/>
      <c r="BE91" s="110" t="s">
        <v>1874</v>
      </c>
      <c r="BF91" s="110" t="s">
        <v>1874</v>
      </c>
      <c r="BG91" s="110" t="s">
        <v>1874</v>
      </c>
      <c r="BH91" s="110" t="s">
        <v>1874</v>
      </c>
      <c r="BI91" s="2"/>
    </row>
    <row r="92" spans="1:61" ht="15">
      <c r="A92" s="61" t="s">
        <v>310</v>
      </c>
      <c r="B92" s="62" t="s">
        <v>2893</v>
      </c>
      <c r="C92" s="62"/>
      <c r="D92" s="63">
        <v>100</v>
      </c>
      <c r="E92" s="65">
        <v>50</v>
      </c>
      <c r="F92" s="100" t="str">
        <f>HYPERLINK("https://yt3.ggpht.com/ytc/AGIKgqNbSdd_mkHZ9ouJinyPAdtlC08pNcNdwrLKVqlu=s88-c-k-c0x00ffffff-no-rj")</f>
        <v>https://yt3.ggpht.com/ytc/AGIKgqNbSdd_mkHZ9ouJinyPAdtlC08pNcNdwrLKVqlu=s88-c-k-c0x00ffffff-no-rj</v>
      </c>
      <c r="G92" s="62"/>
      <c r="H92" s="66" t="s">
        <v>1148</v>
      </c>
      <c r="I92" s="67"/>
      <c r="J92" s="67" t="s">
        <v>159</v>
      </c>
      <c r="K92" s="66" t="s">
        <v>1148</v>
      </c>
      <c r="L92" s="70"/>
      <c r="M92" s="71">
        <v>8350.228515625</v>
      </c>
      <c r="N92" s="71">
        <v>512.5891723632812</v>
      </c>
      <c r="O92" s="72"/>
      <c r="P92" s="73"/>
      <c r="Q92" s="73"/>
      <c r="R92" s="94"/>
      <c r="S92" s="45">
        <v>0</v>
      </c>
      <c r="T92" s="45">
        <v>1</v>
      </c>
      <c r="U92" s="46">
        <v>0</v>
      </c>
      <c r="V92" s="46">
        <v>0.003152</v>
      </c>
      <c r="W92" s="46">
        <v>0</v>
      </c>
      <c r="X92" s="46">
        <v>0.002144</v>
      </c>
      <c r="Y92" s="46">
        <v>0</v>
      </c>
      <c r="Z92" s="46">
        <v>0</v>
      </c>
      <c r="AA92" s="68">
        <v>92</v>
      </c>
      <c r="AB92" s="68"/>
      <c r="AC92" s="69"/>
      <c r="AD92" s="83" t="s">
        <v>1148</v>
      </c>
      <c r="AE92" s="83"/>
      <c r="AF92" s="83"/>
      <c r="AG92" s="83"/>
      <c r="AH92" s="83"/>
      <c r="AI92" s="83" t="s">
        <v>2170</v>
      </c>
      <c r="AJ92" s="92">
        <v>40826.34721064815</v>
      </c>
      <c r="AK92" s="89" t="str">
        <f>HYPERLINK("https://yt3.ggpht.com/ytc/AGIKgqNbSdd_mkHZ9ouJinyPAdtlC08pNcNdwrLKVqlu=s88-c-k-c0x00ffffff-no-rj")</f>
        <v>https://yt3.ggpht.com/ytc/AGIKgqNbSdd_mkHZ9ouJinyPAdtlC08pNcNdwrLKVqlu=s88-c-k-c0x00ffffff-no-rj</v>
      </c>
      <c r="AL92" s="83">
        <v>101</v>
      </c>
      <c r="AM92" s="83">
        <v>0</v>
      </c>
      <c r="AN92" s="83">
        <v>2</v>
      </c>
      <c r="AO92" s="83" t="b">
        <v>0</v>
      </c>
      <c r="AP92" s="83">
        <v>1</v>
      </c>
      <c r="AQ92" s="83"/>
      <c r="AR92" s="83"/>
      <c r="AS92" s="83" t="s">
        <v>2744</v>
      </c>
      <c r="AT92" s="89" t="str">
        <f>HYPERLINK("https://www.youtube.com/channel/UCuxvw14xy4XJ3Fee6z3T94g")</f>
        <v>https://www.youtube.com/channel/UCuxvw14xy4XJ3Fee6z3T94g</v>
      </c>
      <c r="AU92" s="83" t="str">
        <f>REPLACE(INDEX(GroupVertices[Group],MATCH(Vertices[[#This Row],[Vertex]],GroupVertices[Vertex],0)),1,1,"")</f>
        <v>18</v>
      </c>
      <c r="AV92" s="45"/>
      <c r="AW92" s="46"/>
      <c r="AX92" s="45"/>
      <c r="AY92" s="46"/>
      <c r="AZ92" s="45"/>
      <c r="BA92" s="46"/>
      <c r="BB92" s="45"/>
      <c r="BC92" s="46"/>
      <c r="BD92" s="45"/>
      <c r="BE92" s="110" t="s">
        <v>1874</v>
      </c>
      <c r="BF92" s="110" t="s">
        <v>1874</v>
      </c>
      <c r="BG92" s="110" t="s">
        <v>1874</v>
      </c>
      <c r="BH92" s="110" t="s">
        <v>1874</v>
      </c>
      <c r="BI92" s="2"/>
    </row>
    <row r="93" spans="1:61" ht="15">
      <c r="A93" s="61" t="s">
        <v>625</v>
      </c>
      <c r="B93" s="62" t="s">
        <v>2893</v>
      </c>
      <c r="C93" s="62"/>
      <c r="D93" s="63">
        <v>126.73267326732673</v>
      </c>
      <c r="E93" s="65">
        <v>68.75</v>
      </c>
      <c r="F93" s="100" t="str">
        <f>HYPERLINK("https://yt3.ggpht.com/ytc/AGIKgqOYZU0pNvP3hVwWXgqKNeptBWuxVdJE-Hc1t72z1Q=s88-c-k-c0x00ffffff-no-rj")</f>
        <v>https://yt3.ggpht.com/ytc/AGIKgqOYZU0pNvP3hVwWXgqKNeptBWuxVdJE-Hc1t72z1Q=s88-c-k-c0x00ffffff-no-rj</v>
      </c>
      <c r="G93" s="62"/>
      <c r="H93" s="66" t="s">
        <v>1892</v>
      </c>
      <c r="I93" s="67"/>
      <c r="J93" s="67" t="s">
        <v>159</v>
      </c>
      <c r="K93" s="66" t="s">
        <v>1892</v>
      </c>
      <c r="L93" s="70"/>
      <c r="M93" s="71">
        <v>8562.9736328125</v>
      </c>
      <c r="N93" s="71">
        <v>976.0260009765625</v>
      </c>
      <c r="O93" s="72"/>
      <c r="P93" s="73"/>
      <c r="Q93" s="73"/>
      <c r="R93" s="94"/>
      <c r="S93" s="45">
        <v>3</v>
      </c>
      <c r="T93" s="45">
        <v>1</v>
      </c>
      <c r="U93" s="46">
        <v>2</v>
      </c>
      <c r="V93" s="46">
        <v>0.004728</v>
      </c>
      <c r="W93" s="46">
        <v>0</v>
      </c>
      <c r="X93" s="46">
        <v>0.002787</v>
      </c>
      <c r="Y93" s="46">
        <v>0</v>
      </c>
      <c r="Z93" s="46">
        <v>0</v>
      </c>
      <c r="AA93" s="68">
        <v>93</v>
      </c>
      <c r="AB93" s="68"/>
      <c r="AC93" s="69"/>
      <c r="AD93" s="83" t="s">
        <v>1892</v>
      </c>
      <c r="AE93" s="83" t="s">
        <v>1958</v>
      </c>
      <c r="AF93" s="83"/>
      <c r="AG93" s="83"/>
      <c r="AH93" s="83"/>
      <c r="AI93" s="83" t="s">
        <v>2171</v>
      </c>
      <c r="AJ93" s="83" t="s">
        <v>2560</v>
      </c>
      <c r="AK93" s="89" t="str">
        <f>HYPERLINK("https://yt3.ggpht.com/ytc/AGIKgqOYZU0pNvP3hVwWXgqKNeptBWuxVdJE-Hc1t72z1Q=s88-c-k-c0x00ffffff-no-rj")</f>
        <v>https://yt3.ggpht.com/ytc/AGIKgqOYZU0pNvP3hVwWXgqKNeptBWuxVdJE-Hc1t72z1Q=s88-c-k-c0x00ffffff-no-rj</v>
      </c>
      <c r="AL93" s="83">
        <v>5968029</v>
      </c>
      <c r="AM93" s="83">
        <v>0</v>
      </c>
      <c r="AN93" s="83">
        <v>41000</v>
      </c>
      <c r="AO93" s="83" t="b">
        <v>0</v>
      </c>
      <c r="AP93" s="83">
        <v>887</v>
      </c>
      <c r="AQ93" s="83"/>
      <c r="AR93" s="83"/>
      <c r="AS93" s="83" t="s">
        <v>2744</v>
      </c>
      <c r="AT93" s="89" t="str">
        <f>HYPERLINK("https://www.youtube.com/channel/UCrJNKa-OlCBez_qgWa5J-Ng")</f>
        <v>https://www.youtube.com/channel/UCrJNKa-OlCBez_qgWa5J-Ng</v>
      </c>
      <c r="AU93" s="83" t="str">
        <f>REPLACE(INDEX(GroupVertices[Group],MATCH(Vertices[[#This Row],[Vertex]],GroupVertices[Vertex],0)),1,1,"")</f>
        <v>18</v>
      </c>
      <c r="AV93" s="45"/>
      <c r="AW93" s="46"/>
      <c r="AX93" s="45"/>
      <c r="AY93" s="46"/>
      <c r="AZ93" s="45"/>
      <c r="BA93" s="46"/>
      <c r="BB93" s="45"/>
      <c r="BC93" s="46"/>
      <c r="BD93" s="45"/>
      <c r="BE93" s="110" t="s">
        <v>1874</v>
      </c>
      <c r="BF93" s="110" t="s">
        <v>1874</v>
      </c>
      <c r="BG93" s="110" t="s">
        <v>1874</v>
      </c>
      <c r="BH93" s="110" t="s">
        <v>1874</v>
      </c>
      <c r="BI93" s="2"/>
    </row>
    <row r="94" spans="1:61" ht="15">
      <c r="A94" s="61" t="s">
        <v>311</v>
      </c>
      <c r="B94" s="62" t="s">
        <v>2893</v>
      </c>
      <c r="C94" s="62"/>
      <c r="D94" s="63">
        <v>100</v>
      </c>
      <c r="E94" s="65">
        <v>50</v>
      </c>
      <c r="F94" s="100" t="str">
        <f>HYPERLINK("https://yt3.ggpht.com/ytc/AGIKgqN4YKWoOHR9hh3nmalJkNrIUZnl-aIzQkcVpSbb=s88-c-k-c0x00ffffff-no-rj")</f>
        <v>https://yt3.ggpht.com/ytc/AGIKgqN4YKWoOHR9hh3nmalJkNrIUZnl-aIzQkcVpSbb=s88-c-k-c0x00ffffff-no-rj</v>
      </c>
      <c r="G94" s="62"/>
      <c r="H94" s="66" t="s">
        <v>1149</v>
      </c>
      <c r="I94" s="67"/>
      <c r="J94" s="67" t="s">
        <v>159</v>
      </c>
      <c r="K94" s="66" t="s">
        <v>1149</v>
      </c>
      <c r="L94" s="70"/>
      <c r="M94" s="71">
        <v>8350.228515625</v>
      </c>
      <c r="N94" s="71">
        <v>976.0260009765625</v>
      </c>
      <c r="O94" s="72"/>
      <c r="P94" s="73"/>
      <c r="Q94" s="73"/>
      <c r="R94" s="94"/>
      <c r="S94" s="45">
        <v>0</v>
      </c>
      <c r="T94" s="45">
        <v>1</v>
      </c>
      <c r="U94" s="46">
        <v>0</v>
      </c>
      <c r="V94" s="46">
        <v>0.003152</v>
      </c>
      <c r="W94" s="46">
        <v>0</v>
      </c>
      <c r="X94" s="46">
        <v>0.002144</v>
      </c>
      <c r="Y94" s="46">
        <v>0</v>
      </c>
      <c r="Z94" s="46">
        <v>0</v>
      </c>
      <c r="AA94" s="68">
        <v>94</v>
      </c>
      <c r="AB94" s="68"/>
      <c r="AC94" s="69"/>
      <c r="AD94" s="83" t="s">
        <v>1149</v>
      </c>
      <c r="AE94" s="83" t="s">
        <v>1959</v>
      </c>
      <c r="AF94" s="83"/>
      <c r="AG94" s="83"/>
      <c r="AH94" s="83"/>
      <c r="AI94" s="83" t="s">
        <v>2172</v>
      </c>
      <c r="AJ94" s="83" t="s">
        <v>2561</v>
      </c>
      <c r="AK94" s="89" t="str">
        <f>HYPERLINK("https://yt3.ggpht.com/ytc/AGIKgqN4YKWoOHR9hh3nmalJkNrIUZnl-aIzQkcVpSbb=s88-c-k-c0x00ffffff-no-rj")</f>
        <v>https://yt3.ggpht.com/ytc/AGIKgqN4YKWoOHR9hh3nmalJkNrIUZnl-aIzQkcVpSbb=s88-c-k-c0x00ffffff-no-rj</v>
      </c>
      <c r="AL94" s="83">
        <v>0</v>
      </c>
      <c r="AM94" s="83">
        <v>0</v>
      </c>
      <c r="AN94" s="83">
        <v>1</v>
      </c>
      <c r="AO94" s="83" t="b">
        <v>0</v>
      </c>
      <c r="AP94" s="83">
        <v>0</v>
      </c>
      <c r="AQ94" s="83"/>
      <c r="AR94" s="83"/>
      <c r="AS94" s="83" t="s">
        <v>2744</v>
      </c>
      <c r="AT94" s="89" t="str">
        <f>HYPERLINK("https://www.youtube.com/channel/UCrxK6K_iYUTWw-K7TvwXZlw")</f>
        <v>https://www.youtube.com/channel/UCrxK6K_iYUTWw-K7TvwXZlw</v>
      </c>
      <c r="AU94" s="83" t="str">
        <f>REPLACE(INDEX(GroupVertices[Group],MATCH(Vertices[[#This Row],[Vertex]],GroupVertices[Vertex],0)),1,1,"")</f>
        <v>18</v>
      </c>
      <c r="AV94" s="45"/>
      <c r="AW94" s="46"/>
      <c r="AX94" s="45"/>
      <c r="AY94" s="46"/>
      <c r="AZ94" s="45"/>
      <c r="BA94" s="46"/>
      <c r="BB94" s="45"/>
      <c r="BC94" s="46"/>
      <c r="BD94" s="45"/>
      <c r="BE94" s="110" t="s">
        <v>1874</v>
      </c>
      <c r="BF94" s="110" t="s">
        <v>1874</v>
      </c>
      <c r="BG94" s="110" t="s">
        <v>1874</v>
      </c>
      <c r="BH94" s="110" t="s">
        <v>1874</v>
      </c>
      <c r="BI94" s="2"/>
    </row>
    <row r="95" spans="1:61" ht="15">
      <c r="A95" s="61" t="s">
        <v>312</v>
      </c>
      <c r="B95" s="62" t="s">
        <v>2893</v>
      </c>
      <c r="C95" s="62"/>
      <c r="D95" s="63">
        <v>100</v>
      </c>
      <c r="E95" s="65">
        <v>50</v>
      </c>
      <c r="F95" s="100" t="str">
        <f>HYPERLINK("https://yt3.ggpht.com/ytc/AGIKgqM7nGM_BddDgB3-tEt_C1EPwf0pY5zy2EC9ww=s88-c-k-c0x00ffffff-no-rj")</f>
        <v>https://yt3.ggpht.com/ytc/AGIKgqM7nGM_BddDgB3-tEt_C1EPwf0pY5zy2EC9ww=s88-c-k-c0x00ffffff-no-rj</v>
      </c>
      <c r="G95" s="62"/>
      <c r="H95" s="66" t="s">
        <v>1150</v>
      </c>
      <c r="I95" s="67"/>
      <c r="J95" s="67" t="s">
        <v>159</v>
      </c>
      <c r="K95" s="66" t="s">
        <v>1150</v>
      </c>
      <c r="L95" s="70"/>
      <c r="M95" s="71">
        <v>9457.166015625</v>
      </c>
      <c r="N95" s="71">
        <v>3351.724609375</v>
      </c>
      <c r="O95" s="72"/>
      <c r="P95" s="73"/>
      <c r="Q95" s="73"/>
      <c r="R95" s="94"/>
      <c r="S95" s="45">
        <v>0</v>
      </c>
      <c r="T95" s="45">
        <v>1</v>
      </c>
      <c r="U95" s="46">
        <v>0</v>
      </c>
      <c r="V95" s="46">
        <v>0.005404</v>
      </c>
      <c r="W95" s="46">
        <v>0</v>
      </c>
      <c r="X95" s="46">
        <v>0.002106</v>
      </c>
      <c r="Y95" s="46">
        <v>0</v>
      </c>
      <c r="Z95" s="46">
        <v>0</v>
      </c>
      <c r="AA95" s="68">
        <v>95</v>
      </c>
      <c r="AB95" s="68"/>
      <c r="AC95" s="69"/>
      <c r="AD95" s="83" t="s">
        <v>1150</v>
      </c>
      <c r="AE95" s="83"/>
      <c r="AF95" s="83"/>
      <c r="AG95" s="83"/>
      <c r="AH95" s="83"/>
      <c r="AI95" s="83" t="s">
        <v>2173</v>
      </c>
      <c r="AJ95" s="92">
        <v>43192.311261574076</v>
      </c>
      <c r="AK95" s="89" t="str">
        <f>HYPERLINK("https://yt3.ggpht.com/ytc/AGIKgqM7nGM_BddDgB3-tEt_C1EPwf0pY5zy2EC9ww=s88-c-k-c0x00ffffff-no-rj")</f>
        <v>https://yt3.ggpht.com/ytc/AGIKgqM7nGM_BddDgB3-tEt_C1EPwf0pY5zy2EC9ww=s88-c-k-c0x00ffffff-no-rj</v>
      </c>
      <c r="AL95" s="83">
        <v>0</v>
      </c>
      <c r="AM95" s="83">
        <v>0</v>
      </c>
      <c r="AN95" s="83">
        <v>8</v>
      </c>
      <c r="AO95" s="83" t="b">
        <v>0</v>
      </c>
      <c r="AP95" s="83">
        <v>0</v>
      </c>
      <c r="AQ95" s="83"/>
      <c r="AR95" s="83"/>
      <c r="AS95" s="83" t="s">
        <v>2744</v>
      </c>
      <c r="AT95" s="89" t="str">
        <f>HYPERLINK("https://www.youtube.com/channel/UCBbaYkOHMA3ONl9Hy2vaqgQ")</f>
        <v>https://www.youtube.com/channel/UCBbaYkOHMA3ONl9Hy2vaqgQ</v>
      </c>
      <c r="AU95" s="83" t="str">
        <f>REPLACE(INDEX(GroupVertices[Group],MATCH(Vertices[[#This Row],[Vertex]],GroupVertices[Vertex],0)),1,1,"")</f>
        <v>14</v>
      </c>
      <c r="AV95" s="45"/>
      <c r="AW95" s="46"/>
      <c r="AX95" s="45"/>
      <c r="AY95" s="46"/>
      <c r="AZ95" s="45"/>
      <c r="BA95" s="46"/>
      <c r="BB95" s="45"/>
      <c r="BC95" s="46"/>
      <c r="BD95" s="45"/>
      <c r="BE95" s="110" t="s">
        <v>1874</v>
      </c>
      <c r="BF95" s="110" t="s">
        <v>1874</v>
      </c>
      <c r="BG95" s="110" t="s">
        <v>1874</v>
      </c>
      <c r="BH95" s="110" t="s">
        <v>1874</v>
      </c>
      <c r="BI95" s="2"/>
    </row>
    <row r="96" spans="1:61" ht="15">
      <c r="A96" s="61" t="s">
        <v>631</v>
      </c>
      <c r="B96" s="62" t="s">
        <v>2893</v>
      </c>
      <c r="C96" s="62"/>
      <c r="D96" s="63">
        <v>144.55445544554456</v>
      </c>
      <c r="E96" s="65">
        <v>81.25</v>
      </c>
      <c r="F96" s="100" t="str">
        <f>HYPERLINK("https://yt3.ggpht.com/noEWeZABAsS-TwXueCxF2bwn9iPiML3NLNmLEHOTcsPuNpbQyvYrB7y4B2doKFpMDEqUGhvIPfA=s88-c-k-c0x00ffffff-no-rj")</f>
        <v>https://yt3.ggpht.com/noEWeZABAsS-TwXueCxF2bwn9iPiML3NLNmLEHOTcsPuNpbQyvYrB7y4B2doKFpMDEqUGhvIPfA=s88-c-k-c0x00ffffff-no-rj</v>
      </c>
      <c r="G96" s="62"/>
      <c r="H96" s="66" t="s">
        <v>1893</v>
      </c>
      <c r="I96" s="67"/>
      <c r="J96" s="67" t="s">
        <v>159</v>
      </c>
      <c r="K96" s="66" t="s">
        <v>1893</v>
      </c>
      <c r="L96" s="70"/>
      <c r="M96" s="71">
        <v>9729.7451171875</v>
      </c>
      <c r="N96" s="71">
        <v>4287.96044921875</v>
      </c>
      <c r="O96" s="72"/>
      <c r="P96" s="73"/>
      <c r="Q96" s="73"/>
      <c r="R96" s="94"/>
      <c r="S96" s="45">
        <v>5</v>
      </c>
      <c r="T96" s="45">
        <v>1</v>
      </c>
      <c r="U96" s="46">
        <v>12</v>
      </c>
      <c r="V96" s="46">
        <v>0.009456</v>
      </c>
      <c r="W96" s="46">
        <v>0</v>
      </c>
      <c r="X96" s="46">
        <v>0.003369</v>
      </c>
      <c r="Y96" s="46">
        <v>0</v>
      </c>
      <c r="Z96" s="46">
        <v>0</v>
      </c>
      <c r="AA96" s="68">
        <v>96</v>
      </c>
      <c r="AB96" s="68"/>
      <c r="AC96" s="69"/>
      <c r="AD96" s="83" t="s">
        <v>1893</v>
      </c>
      <c r="AE96" s="83"/>
      <c r="AF96" s="83"/>
      <c r="AG96" s="83"/>
      <c r="AH96" s="83"/>
      <c r="AI96" s="83" t="s">
        <v>2174</v>
      </c>
      <c r="AJ96" s="92">
        <v>44656.676886574074</v>
      </c>
      <c r="AK96" s="89" t="str">
        <f>HYPERLINK("https://yt3.ggpht.com/noEWeZABAsS-TwXueCxF2bwn9iPiML3NLNmLEHOTcsPuNpbQyvYrB7y4B2doKFpMDEqUGhvIPfA=s88-c-k-c0x00ffffff-no-rj")</f>
        <v>https://yt3.ggpht.com/noEWeZABAsS-TwXueCxF2bwn9iPiML3NLNmLEHOTcsPuNpbQyvYrB7y4B2doKFpMDEqUGhvIPfA=s88-c-k-c0x00ffffff-no-rj</v>
      </c>
      <c r="AL96" s="83">
        <v>1106035</v>
      </c>
      <c r="AM96" s="83">
        <v>0</v>
      </c>
      <c r="AN96" s="83">
        <v>2400</v>
      </c>
      <c r="AO96" s="83" t="b">
        <v>0</v>
      </c>
      <c r="AP96" s="83">
        <v>1712</v>
      </c>
      <c r="AQ96" s="83"/>
      <c r="AR96" s="83"/>
      <c r="AS96" s="83" t="s">
        <v>2744</v>
      </c>
      <c r="AT96" s="89" t="str">
        <f>HYPERLINK("https://www.youtube.com/channel/UCmuhqIgfk2AW8T836rF7ZAw")</f>
        <v>https://www.youtube.com/channel/UCmuhqIgfk2AW8T836rF7ZAw</v>
      </c>
      <c r="AU96" s="83" t="str">
        <f>REPLACE(INDEX(GroupVertices[Group],MATCH(Vertices[[#This Row],[Vertex]],GroupVertices[Vertex],0)),1,1,"")</f>
        <v>14</v>
      </c>
      <c r="AV96" s="45"/>
      <c r="AW96" s="46"/>
      <c r="AX96" s="45"/>
      <c r="AY96" s="46"/>
      <c r="AZ96" s="45"/>
      <c r="BA96" s="46"/>
      <c r="BB96" s="45"/>
      <c r="BC96" s="46"/>
      <c r="BD96" s="45"/>
      <c r="BE96" s="110" t="s">
        <v>1874</v>
      </c>
      <c r="BF96" s="110" t="s">
        <v>1874</v>
      </c>
      <c r="BG96" s="110" t="s">
        <v>1874</v>
      </c>
      <c r="BH96" s="110" t="s">
        <v>1874</v>
      </c>
      <c r="BI96" s="2"/>
    </row>
    <row r="97" spans="1:61" ht="15">
      <c r="A97" s="61" t="s">
        <v>313</v>
      </c>
      <c r="B97" s="62" t="s">
        <v>2893</v>
      </c>
      <c r="C97" s="62"/>
      <c r="D97" s="63">
        <v>100</v>
      </c>
      <c r="E97" s="65">
        <v>50</v>
      </c>
      <c r="F97" s="100" t="str">
        <f>HYPERLINK("https://yt3.ggpht.com/ytc/AGIKgqPDV0Iz8Pc7LKvE5fdpD25PqGHuWqX7oUHgm9oUsw=s88-c-k-c0x00ffffff-no-rj")</f>
        <v>https://yt3.ggpht.com/ytc/AGIKgqPDV0Iz8Pc7LKvE5fdpD25PqGHuWqX7oUHgm9oUsw=s88-c-k-c0x00ffffff-no-rj</v>
      </c>
      <c r="G97" s="62"/>
      <c r="H97" s="66" t="s">
        <v>1151</v>
      </c>
      <c r="I97" s="67"/>
      <c r="J97" s="67" t="s">
        <v>159</v>
      </c>
      <c r="K97" s="66" t="s">
        <v>1151</v>
      </c>
      <c r="L97" s="70"/>
      <c r="M97" s="71">
        <v>9362.427734375</v>
      </c>
      <c r="N97" s="71">
        <v>5052.1630859375</v>
      </c>
      <c r="O97" s="72"/>
      <c r="P97" s="73"/>
      <c r="Q97" s="73"/>
      <c r="R97" s="94"/>
      <c r="S97" s="45">
        <v>0</v>
      </c>
      <c r="T97" s="45">
        <v>1</v>
      </c>
      <c r="U97" s="46">
        <v>0</v>
      </c>
      <c r="V97" s="46">
        <v>0.014041</v>
      </c>
      <c r="W97" s="46">
        <v>0</v>
      </c>
      <c r="X97" s="46">
        <v>0.002077</v>
      </c>
      <c r="Y97" s="46">
        <v>0</v>
      </c>
      <c r="Z97" s="46">
        <v>0</v>
      </c>
      <c r="AA97" s="68">
        <v>97</v>
      </c>
      <c r="AB97" s="68"/>
      <c r="AC97" s="69"/>
      <c r="AD97" s="83" t="s">
        <v>1151</v>
      </c>
      <c r="AE97" s="83" t="s">
        <v>1960</v>
      </c>
      <c r="AF97" s="83"/>
      <c r="AG97" s="83"/>
      <c r="AH97" s="83"/>
      <c r="AI97" s="83" t="s">
        <v>2175</v>
      </c>
      <c r="AJ97" s="83" t="s">
        <v>2562</v>
      </c>
      <c r="AK97" s="89" t="str">
        <f>HYPERLINK("https://yt3.ggpht.com/ytc/AGIKgqPDV0Iz8Pc7LKvE5fdpD25PqGHuWqX7oUHgm9oUsw=s88-c-k-c0x00ffffff-no-rj")</f>
        <v>https://yt3.ggpht.com/ytc/AGIKgqPDV0Iz8Pc7LKvE5fdpD25PqGHuWqX7oUHgm9oUsw=s88-c-k-c0x00ffffff-no-rj</v>
      </c>
      <c r="AL97" s="83">
        <v>0</v>
      </c>
      <c r="AM97" s="83">
        <v>0</v>
      </c>
      <c r="AN97" s="83">
        <v>342</v>
      </c>
      <c r="AO97" s="83" t="b">
        <v>0</v>
      </c>
      <c r="AP97" s="83">
        <v>0</v>
      </c>
      <c r="AQ97" s="83"/>
      <c r="AR97" s="83"/>
      <c r="AS97" s="83" t="s">
        <v>2744</v>
      </c>
      <c r="AT97" s="89" t="str">
        <f>HYPERLINK("https://www.youtube.com/channel/UCU4OTaFyRFv5v4zWbMOfLKw")</f>
        <v>https://www.youtube.com/channel/UCU4OTaFyRFv5v4zWbMOfLKw</v>
      </c>
      <c r="AU97" s="83" t="str">
        <f>REPLACE(INDEX(GroupVertices[Group],MATCH(Vertices[[#This Row],[Vertex]],GroupVertices[Vertex],0)),1,1,"")</f>
        <v>9</v>
      </c>
      <c r="AV97" s="45"/>
      <c r="AW97" s="46"/>
      <c r="AX97" s="45"/>
      <c r="AY97" s="46"/>
      <c r="AZ97" s="45"/>
      <c r="BA97" s="46"/>
      <c r="BB97" s="45"/>
      <c r="BC97" s="46"/>
      <c r="BD97" s="45"/>
      <c r="BE97" s="110" t="s">
        <v>1874</v>
      </c>
      <c r="BF97" s="110" t="s">
        <v>1874</v>
      </c>
      <c r="BG97" s="110" t="s">
        <v>1874</v>
      </c>
      <c r="BH97" s="110" t="s">
        <v>1874</v>
      </c>
      <c r="BI97" s="2"/>
    </row>
    <row r="98" spans="1:61" ht="15">
      <c r="A98" s="61" t="s">
        <v>629</v>
      </c>
      <c r="B98" s="62" t="s">
        <v>2893</v>
      </c>
      <c r="C98" s="62"/>
      <c r="D98" s="63">
        <v>180.1980198019802</v>
      </c>
      <c r="E98" s="65">
        <v>100</v>
      </c>
      <c r="F98" s="100" t="str">
        <f>HYPERLINK("https://yt3.ggpht.com/aIZQfF7bko5Eac2UjCtfXvFNEFNX0jATSJIaHo_sTr6u44EM2b3dWnYI5S50GIt8_NjgwzOF0w=s88-c-k-c0x00ffffff-no-rj")</f>
        <v>https://yt3.ggpht.com/aIZQfF7bko5Eac2UjCtfXvFNEFNX0jATSJIaHo_sTr6u44EM2b3dWnYI5S50GIt8_NjgwzOF0w=s88-c-k-c0x00ffffff-no-rj</v>
      </c>
      <c r="G98" s="62"/>
      <c r="H98" s="66" t="s">
        <v>1894</v>
      </c>
      <c r="I98" s="67"/>
      <c r="J98" s="67" t="s">
        <v>75</v>
      </c>
      <c r="K98" s="66" t="s">
        <v>1894</v>
      </c>
      <c r="L98" s="70"/>
      <c r="M98" s="71">
        <v>9362.427734375</v>
      </c>
      <c r="N98" s="71">
        <v>6049.25439453125</v>
      </c>
      <c r="O98" s="72"/>
      <c r="P98" s="73"/>
      <c r="Q98" s="73"/>
      <c r="R98" s="94"/>
      <c r="S98" s="45">
        <v>9</v>
      </c>
      <c r="T98" s="45">
        <v>1</v>
      </c>
      <c r="U98" s="46">
        <v>140</v>
      </c>
      <c r="V98" s="46">
        <v>0.023168</v>
      </c>
      <c r="W98" s="46">
        <v>0</v>
      </c>
      <c r="X98" s="46">
        <v>0.00433</v>
      </c>
      <c r="Y98" s="46">
        <v>0</v>
      </c>
      <c r="Z98" s="46">
        <v>0</v>
      </c>
      <c r="AA98" s="68">
        <v>98</v>
      </c>
      <c r="AB98" s="68"/>
      <c r="AC98" s="69"/>
      <c r="AD98" s="83" t="s">
        <v>1894</v>
      </c>
      <c r="AE98" s="83" t="s">
        <v>1961</v>
      </c>
      <c r="AF98" s="83"/>
      <c r="AG98" s="83"/>
      <c r="AH98" s="83"/>
      <c r="AI98" s="83" t="s">
        <v>2176</v>
      </c>
      <c r="AJ98" s="83" t="s">
        <v>2563</v>
      </c>
      <c r="AK98" s="89" t="str">
        <f>HYPERLINK("https://yt3.ggpht.com/aIZQfF7bko5Eac2UjCtfXvFNEFNX0jATSJIaHo_sTr6u44EM2b3dWnYI5S50GIt8_NjgwzOF0w=s88-c-k-c0x00ffffff-no-rj")</f>
        <v>https://yt3.ggpht.com/aIZQfF7bko5Eac2UjCtfXvFNEFNX0jATSJIaHo_sTr6u44EM2b3dWnYI5S50GIt8_NjgwzOF0w=s88-c-k-c0x00ffffff-no-rj</v>
      </c>
      <c r="AL98" s="83">
        <v>398712</v>
      </c>
      <c r="AM98" s="83">
        <v>0</v>
      </c>
      <c r="AN98" s="83">
        <v>862</v>
      </c>
      <c r="AO98" s="83" t="b">
        <v>0</v>
      </c>
      <c r="AP98" s="83">
        <v>149</v>
      </c>
      <c r="AQ98" s="83"/>
      <c r="AR98" s="83"/>
      <c r="AS98" s="83" t="s">
        <v>2744</v>
      </c>
      <c r="AT98" s="89" t="str">
        <f>HYPERLINK("https://www.youtube.com/channel/UClkU9-3XSIIRBieOqi2H5-A")</f>
        <v>https://www.youtube.com/channel/UClkU9-3XSIIRBieOqi2H5-A</v>
      </c>
      <c r="AU98" s="83" t="str">
        <f>REPLACE(INDEX(GroupVertices[Group],MATCH(Vertices[[#This Row],[Vertex]],GroupVertices[Vertex],0)),1,1,"")</f>
        <v>9</v>
      </c>
      <c r="AV98" s="45"/>
      <c r="AW98" s="46"/>
      <c r="AX98" s="45"/>
      <c r="AY98" s="46"/>
      <c r="AZ98" s="45"/>
      <c r="BA98" s="46"/>
      <c r="BB98" s="45"/>
      <c r="BC98" s="46"/>
      <c r="BD98" s="45"/>
      <c r="BE98" s="110" t="s">
        <v>1874</v>
      </c>
      <c r="BF98" s="110" t="s">
        <v>1874</v>
      </c>
      <c r="BG98" s="110" t="s">
        <v>1874</v>
      </c>
      <c r="BH98" s="110" t="s">
        <v>1874</v>
      </c>
      <c r="BI98" s="2"/>
    </row>
    <row r="99" spans="1:61" ht="15">
      <c r="A99" s="61" t="s">
        <v>314</v>
      </c>
      <c r="B99" s="62" t="s">
        <v>2893</v>
      </c>
      <c r="C99" s="62"/>
      <c r="D99" s="63">
        <v>100</v>
      </c>
      <c r="E99" s="65">
        <v>50</v>
      </c>
      <c r="F99" s="100" t="str">
        <f>HYPERLINK("https://yt3.ggpht.com/ytc/AGIKgqPqV5scilND9swL0vFo-euYZBLRrWhm7tTsYjIq=s88-c-k-c0x00ffffff-no-rj")</f>
        <v>https://yt3.ggpht.com/ytc/AGIKgqPqV5scilND9swL0vFo-euYZBLRrWhm7tTsYjIq=s88-c-k-c0x00ffffff-no-rj</v>
      </c>
      <c r="G99" s="62"/>
      <c r="H99" s="66" t="s">
        <v>1152</v>
      </c>
      <c r="I99" s="67"/>
      <c r="J99" s="67" t="s">
        <v>159</v>
      </c>
      <c r="K99" s="66" t="s">
        <v>1152</v>
      </c>
      <c r="L99" s="70"/>
      <c r="M99" s="71">
        <v>9026.6904296875</v>
      </c>
      <c r="N99" s="71">
        <v>5052.1630859375</v>
      </c>
      <c r="O99" s="72"/>
      <c r="P99" s="73"/>
      <c r="Q99" s="73"/>
      <c r="R99" s="94"/>
      <c r="S99" s="45">
        <v>0</v>
      </c>
      <c r="T99" s="45">
        <v>1</v>
      </c>
      <c r="U99" s="46">
        <v>0</v>
      </c>
      <c r="V99" s="46">
        <v>0.014041</v>
      </c>
      <c r="W99" s="46">
        <v>0</v>
      </c>
      <c r="X99" s="46">
        <v>0.002077</v>
      </c>
      <c r="Y99" s="46">
        <v>0</v>
      </c>
      <c r="Z99" s="46">
        <v>0</v>
      </c>
      <c r="AA99" s="68">
        <v>99</v>
      </c>
      <c r="AB99" s="68"/>
      <c r="AC99" s="69"/>
      <c r="AD99" s="83" t="s">
        <v>1152</v>
      </c>
      <c r="AE99" s="83"/>
      <c r="AF99" s="83"/>
      <c r="AG99" s="83"/>
      <c r="AH99" s="83"/>
      <c r="AI99" s="83" t="s">
        <v>2177</v>
      </c>
      <c r="AJ99" s="83" t="s">
        <v>2564</v>
      </c>
      <c r="AK99" s="89" t="str">
        <f>HYPERLINK("https://yt3.ggpht.com/ytc/AGIKgqPqV5scilND9swL0vFo-euYZBLRrWhm7tTsYjIq=s88-c-k-c0x00ffffff-no-rj")</f>
        <v>https://yt3.ggpht.com/ytc/AGIKgqPqV5scilND9swL0vFo-euYZBLRrWhm7tTsYjIq=s88-c-k-c0x00ffffff-no-rj</v>
      </c>
      <c r="AL99" s="83">
        <v>0</v>
      </c>
      <c r="AM99" s="83">
        <v>0</v>
      </c>
      <c r="AN99" s="83">
        <v>0</v>
      </c>
      <c r="AO99" s="83" t="b">
        <v>0</v>
      </c>
      <c r="AP99" s="83">
        <v>0</v>
      </c>
      <c r="AQ99" s="83"/>
      <c r="AR99" s="83"/>
      <c r="AS99" s="83" t="s">
        <v>2744</v>
      </c>
      <c r="AT99" s="89" t="str">
        <f>HYPERLINK("https://www.youtube.com/channel/UCFNZkc5TIazE3hsUUsG4Mug")</f>
        <v>https://www.youtube.com/channel/UCFNZkc5TIazE3hsUUsG4Mug</v>
      </c>
      <c r="AU99" s="83" t="str">
        <f>REPLACE(INDEX(GroupVertices[Group],MATCH(Vertices[[#This Row],[Vertex]],GroupVertices[Vertex],0)),1,1,"")</f>
        <v>9</v>
      </c>
      <c r="AV99" s="45"/>
      <c r="AW99" s="46"/>
      <c r="AX99" s="45"/>
      <c r="AY99" s="46"/>
      <c r="AZ99" s="45"/>
      <c r="BA99" s="46"/>
      <c r="BB99" s="45"/>
      <c r="BC99" s="46"/>
      <c r="BD99" s="45"/>
      <c r="BE99" s="110" t="s">
        <v>1874</v>
      </c>
      <c r="BF99" s="110" t="s">
        <v>1874</v>
      </c>
      <c r="BG99" s="110" t="s">
        <v>1874</v>
      </c>
      <c r="BH99" s="110" t="s">
        <v>1874</v>
      </c>
      <c r="BI99" s="2"/>
    </row>
    <row r="100" spans="1:61" ht="15">
      <c r="A100" s="61" t="s">
        <v>315</v>
      </c>
      <c r="B100" s="62" t="s">
        <v>2893</v>
      </c>
      <c r="C100" s="62"/>
      <c r="D100" s="63">
        <v>100</v>
      </c>
      <c r="E100" s="65">
        <v>50</v>
      </c>
      <c r="F100" s="100" t="str">
        <f>HYPERLINK("https://yt3.ggpht.com/ytc/AGIKgqN5oLx4gFoetjhkg1jE5EWZIaRW7CSvQhSQ1J-O=s88-c-k-c0x00ffffff-no-rj")</f>
        <v>https://yt3.ggpht.com/ytc/AGIKgqN5oLx4gFoetjhkg1jE5EWZIaRW7CSvQhSQ1J-O=s88-c-k-c0x00ffffff-no-rj</v>
      </c>
      <c r="G100" s="62"/>
      <c r="H100" s="66" t="s">
        <v>1153</v>
      </c>
      <c r="I100" s="67"/>
      <c r="J100" s="67" t="s">
        <v>159</v>
      </c>
      <c r="K100" s="66" t="s">
        <v>1153</v>
      </c>
      <c r="L100" s="70"/>
      <c r="M100" s="71">
        <v>8690.953125</v>
      </c>
      <c r="N100" s="71">
        <v>5052.1630859375</v>
      </c>
      <c r="O100" s="72"/>
      <c r="P100" s="73"/>
      <c r="Q100" s="73"/>
      <c r="R100" s="94"/>
      <c r="S100" s="45">
        <v>0</v>
      </c>
      <c r="T100" s="45">
        <v>1</v>
      </c>
      <c r="U100" s="46">
        <v>0</v>
      </c>
      <c r="V100" s="46">
        <v>0.014041</v>
      </c>
      <c r="W100" s="46">
        <v>0</v>
      </c>
      <c r="X100" s="46">
        <v>0.002077</v>
      </c>
      <c r="Y100" s="46">
        <v>0</v>
      </c>
      <c r="Z100" s="46">
        <v>0</v>
      </c>
      <c r="AA100" s="68">
        <v>100</v>
      </c>
      <c r="AB100" s="68"/>
      <c r="AC100" s="69"/>
      <c r="AD100" s="83" t="s">
        <v>1153</v>
      </c>
      <c r="AE100" s="83"/>
      <c r="AF100" s="83"/>
      <c r="AG100" s="83"/>
      <c r="AH100" s="83"/>
      <c r="AI100" s="83" t="s">
        <v>2178</v>
      </c>
      <c r="AJ100" s="92">
        <v>39696.68173611111</v>
      </c>
      <c r="AK100" s="89" t="str">
        <f>HYPERLINK("https://yt3.ggpht.com/ytc/AGIKgqN5oLx4gFoetjhkg1jE5EWZIaRW7CSvQhSQ1J-O=s88-c-k-c0x00ffffff-no-rj")</f>
        <v>https://yt3.ggpht.com/ytc/AGIKgqN5oLx4gFoetjhkg1jE5EWZIaRW7CSvQhSQ1J-O=s88-c-k-c0x00ffffff-no-rj</v>
      </c>
      <c r="AL100" s="83">
        <v>2502</v>
      </c>
      <c r="AM100" s="83">
        <v>0</v>
      </c>
      <c r="AN100" s="83">
        <v>30</v>
      </c>
      <c r="AO100" s="83" t="b">
        <v>0</v>
      </c>
      <c r="AP100" s="83">
        <v>76</v>
      </c>
      <c r="AQ100" s="83"/>
      <c r="AR100" s="83"/>
      <c r="AS100" s="83" t="s">
        <v>2744</v>
      </c>
      <c r="AT100" s="89" t="str">
        <f>HYPERLINK("https://www.youtube.com/channel/UCkxDs3hghE3W3GfMwf2HjXg")</f>
        <v>https://www.youtube.com/channel/UCkxDs3hghE3W3GfMwf2HjXg</v>
      </c>
      <c r="AU100" s="83" t="str">
        <f>REPLACE(INDEX(GroupVertices[Group],MATCH(Vertices[[#This Row],[Vertex]],GroupVertices[Vertex],0)),1,1,"")</f>
        <v>9</v>
      </c>
      <c r="AV100" s="45"/>
      <c r="AW100" s="46"/>
      <c r="AX100" s="45"/>
      <c r="AY100" s="46"/>
      <c r="AZ100" s="45"/>
      <c r="BA100" s="46"/>
      <c r="BB100" s="45"/>
      <c r="BC100" s="46"/>
      <c r="BD100" s="45"/>
      <c r="BE100" s="110" t="s">
        <v>1874</v>
      </c>
      <c r="BF100" s="110" t="s">
        <v>1874</v>
      </c>
      <c r="BG100" s="110" t="s">
        <v>1874</v>
      </c>
      <c r="BH100" s="110" t="s">
        <v>1874</v>
      </c>
      <c r="BI100" s="2"/>
    </row>
    <row r="101" spans="1:61" ht="15">
      <c r="A101" s="61" t="s">
        <v>316</v>
      </c>
      <c r="B101" s="62" t="s">
        <v>2893</v>
      </c>
      <c r="C101" s="62"/>
      <c r="D101" s="63">
        <v>100</v>
      </c>
      <c r="E101" s="65">
        <v>50</v>
      </c>
      <c r="F101" s="100" t="str">
        <f>HYPERLINK("https://yt3.ggpht.com/uCoX3YrVvj3rkfLJc3bkFpwNxFZF3NZS3gMEyzyrbVViwVL5NUqvsXFiZIDFyeJKCH0y7Cjr=s88-c-k-c0x00ffffff-no-rj")</f>
        <v>https://yt3.ggpht.com/uCoX3YrVvj3rkfLJc3bkFpwNxFZF3NZS3gMEyzyrbVViwVL5NUqvsXFiZIDFyeJKCH0y7Cjr=s88-c-k-c0x00ffffff-no-rj</v>
      </c>
      <c r="G101" s="62"/>
      <c r="H101" s="66" t="s">
        <v>1154</v>
      </c>
      <c r="I101" s="67"/>
      <c r="J101" s="67" t="s">
        <v>159</v>
      </c>
      <c r="K101" s="66" t="s">
        <v>1154</v>
      </c>
      <c r="L101" s="70"/>
      <c r="M101" s="71">
        <v>9698.166015625</v>
      </c>
      <c r="N101" s="71">
        <v>5550.708984375</v>
      </c>
      <c r="O101" s="72"/>
      <c r="P101" s="73"/>
      <c r="Q101" s="73"/>
      <c r="R101" s="94"/>
      <c r="S101" s="45">
        <v>0</v>
      </c>
      <c r="T101" s="45">
        <v>1</v>
      </c>
      <c r="U101" s="46">
        <v>0</v>
      </c>
      <c r="V101" s="46">
        <v>0.014041</v>
      </c>
      <c r="W101" s="46">
        <v>0</v>
      </c>
      <c r="X101" s="46">
        <v>0.002077</v>
      </c>
      <c r="Y101" s="46">
        <v>0</v>
      </c>
      <c r="Z101" s="46">
        <v>0</v>
      </c>
      <c r="AA101" s="68">
        <v>101</v>
      </c>
      <c r="AB101" s="68"/>
      <c r="AC101" s="69"/>
      <c r="AD101" s="83" t="s">
        <v>1154</v>
      </c>
      <c r="AE101" s="83" t="s">
        <v>1962</v>
      </c>
      <c r="AF101" s="83"/>
      <c r="AG101" s="83"/>
      <c r="AH101" s="83"/>
      <c r="AI101" s="83" t="s">
        <v>2179</v>
      </c>
      <c r="AJ101" s="83" t="s">
        <v>2565</v>
      </c>
      <c r="AK101" s="89" t="str">
        <f>HYPERLINK("https://yt3.ggpht.com/uCoX3YrVvj3rkfLJc3bkFpwNxFZF3NZS3gMEyzyrbVViwVL5NUqvsXFiZIDFyeJKCH0y7Cjr=s88-c-k-c0x00ffffff-no-rj")</f>
        <v>https://yt3.ggpht.com/uCoX3YrVvj3rkfLJc3bkFpwNxFZF3NZS3gMEyzyrbVViwVL5NUqvsXFiZIDFyeJKCH0y7Cjr=s88-c-k-c0x00ffffff-no-rj</v>
      </c>
      <c r="AL101" s="83">
        <v>9166</v>
      </c>
      <c r="AM101" s="83">
        <v>0</v>
      </c>
      <c r="AN101" s="83">
        <v>37</v>
      </c>
      <c r="AO101" s="83" t="b">
        <v>0</v>
      </c>
      <c r="AP101" s="83">
        <v>84</v>
      </c>
      <c r="AQ101" s="83"/>
      <c r="AR101" s="83"/>
      <c r="AS101" s="83" t="s">
        <v>2744</v>
      </c>
      <c r="AT101" s="89" t="str">
        <f>HYPERLINK("https://www.youtube.com/channel/UCdkVsykHG4teojKpDJ7-n9g")</f>
        <v>https://www.youtube.com/channel/UCdkVsykHG4teojKpDJ7-n9g</v>
      </c>
      <c r="AU101" s="83" t="str">
        <f>REPLACE(INDEX(GroupVertices[Group],MATCH(Vertices[[#This Row],[Vertex]],GroupVertices[Vertex],0)),1,1,"")</f>
        <v>9</v>
      </c>
      <c r="AV101" s="45"/>
      <c r="AW101" s="46"/>
      <c r="AX101" s="45"/>
      <c r="AY101" s="46"/>
      <c r="AZ101" s="45"/>
      <c r="BA101" s="46"/>
      <c r="BB101" s="45"/>
      <c r="BC101" s="46"/>
      <c r="BD101" s="45"/>
      <c r="BE101" s="110" t="s">
        <v>1874</v>
      </c>
      <c r="BF101" s="110" t="s">
        <v>1874</v>
      </c>
      <c r="BG101" s="110" t="s">
        <v>1874</v>
      </c>
      <c r="BH101" s="110" t="s">
        <v>1874</v>
      </c>
      <c r="BI101" s="2"/>
    </row>
    <row r="102" spans="1:61" ht="15">
      <c r="A102" s="61" t="s">
        <v>317</v>
      </c>
      <c r="B102" s="62" t="s">
        <v>2893</v>
      </c>
      <c r="C102" s="62"/>
      <c r="D102" s="63">
        <v>100</v>
      </c>
      <c r="E102" s="65">
        <v>50</v>
      </c>
      <c r="F102" s="100" t="str">
        <f>HYPERLINK("https://yt3.ggpht.com/ytc/AGIKgqMBkH5I5j5QR7wQhM63DpETBAstqtSDo0TihXKb8Q=s88-c-k-c0x00ffffff-no-rj")</f>
        <v>https://yt3.ggpht.com/ytc/AGIKgqMBkH5I5j5QR7wQhM63DpETBAstqtSDo0TihXKb8Q=s88-c-k-c0x00ffffff-no-rj</v>
      </c>
      <c r="G102" s="62"/>
      <c r="H102" s="66" t="s">
        <v>1155</v>
      </c>
      <c r="I102" s="67"/>
      <c r="J102" s="67" t="s">
        <v>159</v>
      </c>
      <c r="K102" s="66" t="s">
        <v>1155</v>
      </c>
      <c r="L102" s="70"/>
      <c r="M102" s="71">
        <v>9362.427734375</v>
      </c>
      <c r="N102" s="71">
        <v>5550.708984375</v>
      </c>
      <c r="O102" s="72"/>
      <c r="P102" s="73"/>
      <c r="Q102" s="73"/>
      <c r="R102" s="94"/>
      <c r="S102" s="45">
        <v>0</v>
      </c>
      <c r="T102" s="45">
        <v>1</v>
      </c>
      <c r="U102" s="46">
        <v>0</v>
      </c>
      <c r="V102" s="46">
        <v>0.014041</v>
      </c>
      <c r="W102" s="46">
        <v>0</v>
      </c>
      <c r="X102" s="46">
        <v>0.002077</v>
      </c>
      <c r="Y102" s="46">
        <v>0</v>
      </c>
      <c r="Z102" s="46">
        <v>0</v>
      </c>
      <c r="AA102" s="68">
        <v>102</v>
      </c>
      <c r="AB102" s="68"/>
      <c r="AC102" s="69"/>
      <c r="AD102" s="83" t="s">
        <v>1155</v>
      </c>
      <c r="AE102" s="83"/>
      <c r="AF102" s="83"/>
      <c r="AG102" s="83"/>
      <c r="AH102" s="83"/>
      <c r="AI102" s="83" t="s">
        <v>2180</v>
      </c>
      <c r="AJ102" s="83" t="s">
        <v>2566</v>
      </c>
      <c r="AK102" s="89" t="str">
        <f>HYPERLINK("https://yt3.ggpht.com/ytc/AGIKgqMBkH5I5j5QR7wQhM63DpETBAstqtSDo0TihXKb8Q=s88-c-k-c0x00ffffff-no-rj")</f>
        <v>https://yt3.ggpht.com/ytc/AGIKgqMBkH5I5j5QR7wQhM63DpETBAstqtSDo0TihXKb8Q=s88-c-k-c0x00ffffff-no-rj</v>
      </c>
      <c r="AL102" s="83">
        <v>23051</v>
      </c>
      <c r="AM102" s="83">
        <v>0</v>
      </c>
      <c r="AN102" s="83">
        <v>41</v>
      </c>
      <c r="AO102" s="83" t="b">
        <v>0</v>
      </c>
      <c r="AP102" s="83">
        <v>20</v>
      </c>
      <c r="AQ102" s="83"/>
      <c r="AR102" s="83"/>
      <c r="AS102" s="83" t="s">
        <v>2744</v>
      </c>
      <c r="AT102" s="89" t="str">
        <f>HYPERLINK("https://www.youtube.com/channel/UCLdat-IuWhwjM_RUyjQ99nQ")</f>
        <v>https://www.youtube.com/channel/UCLdat-IuWhwjM_RUyjQ99nQ</v>
      </c>
      <c r="AU102" s="83" t="str">
        <f>REPLACE(INDEX(GroupVertices[Group],MATCH(Vertices[[#This Row],[Vertex]],GroupVertices[Vertex],0)),1,1,"")</f>
        <v>9</v>
      </c>
      <c r="AV102" s="45"/>
      <c r="AW102" s="46"/>
      <c r="AX102" s="45"/>
      <c r="AY102" s="46"/>
      <c r="AZ102" s="45"/>
      <c r="BA102" s="46"/>
      <c r="BB102" s="45"/>
      <c r="BC102" s="46"/>
      <c r="BD102" s="45"/>
      <c r="BE102" s="110" t="s">
        <v>1874</v>
      </c>
      <c r="BF102" s="110" t="s">
        <v>1874</v>
      </c>
      <c r="BG102" s="110" t="s">
        <v>1874</v>
      </c>
      <c r="BH102" s="110" t="s">
        <v>1874</v>
      </c>
      <c r="BI102" s="2"/>
    </row>
    <row r="103" spans="1:61" ht="15">
      <c r="A103" s="61" t="s">
        <v>318</v>
      </c>
      <c r="B103" s="62" t="s">
        <v>2893</v>
      </c>
      <c r="C103" s="62"/>
      <c r="D103" s="63">
        <v>100</v>
      </c>
      <c r="E103" s="65">
        <v>50</v>
      </c>
      <c r="F103" s="100" t="str">
        <f>HYPERLINK("https://yt3.ggpht.com/5DySM2U-QLTTlFsQvY7agHm4wB18Q7aKb4bXt22lFlrNPtYH07w_AQUc_2Ip_ngGGhVRm1DX=s88-c-k-c0x00ffffff-no-rj")</f>
        <v>https://yt3.ggpht.com/5DySM2U-QLTTlFsQvY7agHm4wB18Q7aKb4bXt22lFlrNPtYH07w_AQUc_2Ip_ngGGhVRm1DX=s88-c-k-c0x00ffffff-no-rj</v>
      </c>
      <c r="G103" s="62"/>
      <c r="H103" s="66" t="s">
        <v>1156</v>
      </c>
      <c r="I103" s="67"/>
      <c r="J103" s="67" t="s">
        <v>159</v>
      </c>
      <c r="K103" s="66" t="s">
        <v>1156</v>
      </c>
      <c r="L103" s="70"/>
      <c r="M103" s="71">
        <v>9026.6904296875</v>
      </c>
      <c r="N103" s="71">
        <v>5550.708984375</v>
      </c>
      <c r="O103" s="72"/>
      <c r="P103" s="73"/>
      <c r="Q103" s="73"/>
      <c r="R103" s="94"/>
      <c r="S103" s="45">
        <v>0</v>
      </c>
      <c r="T103" s="45">
        <v>1</v>
      </c>
      <c r="U103" s="46">
        <v>0</v>
      </c>
      <c r="V103" s="46">
        <v>0.014041</v>
      </c>
      <c r="W103" s="46">
        <v>0</v>
      </c>
      <c r="X103" s="46">
        <v>0.002077</v>
      </c>
      <c r="Y103" s="46">
        <v>0</v>
      </c>
      <c r="Z103" s="46">
        <v>0</v>
      </c>
      <c r="AA103" s="68">
        <v>103</v>
      </c>
      <c r="AB103" s="68"/>
      <c r="AC103" s="69"/>
      <c r="AD103" s="83" t="s">
        <v>1156</v>
      </c>
      <c r="AE103" s="83"/>
      <c r="AF103" s="83"/>
      <c r="AG103" s="83"/>
      <c r="AH103" s="83"/>
      <c r="AI103" s="83" t="s">
        <v>2181</v>
      </c>
      <c r="AJ103" s="83" t="s">
        <v>2567</v>
      </c>
      <c r="AK103" s="89" t="str">
        <f>HYPERLINK("https://yt3.ggpht.com/5DySM2U-QLTTlFsQvY7agHm4wB18Q7aKb4bXt22lFlrNPtYH07w_AQUc_2Ip_ngGGhVRm1DX=s88-c-k-c0x00ffffff-no-rj")</f>
        <v>https://yt3.ggpht.com/5DySM2U-QLTTlFsQvY7agHm4wB18Q7aKb4bXt22lFlrNPtYH07w_AQUc_2Ip_ngGGhVRm1DX=s88-c-k-c0x00ffffff-no-rj</v>
      </c>
      <c r="AL103" s="83">
        <v>130924</v>
      </c>
      <c r="AM103" s="83">
        <v>0</v>
      </c>
      <c r="AN103" s="83">
        <v>407</v>
      </c>
      <c r="AO103" s="83" t="b">
        <v>0</v>
      </c>
      <c r="AP103" s="83">
        <v>230</v>
      </c>
      <c r="AQ103" s="83"/>
      <c r="AR103" s="83"/>
      <c r="AS103" s="83" t="s">
        <v>2744</v>
      </c>
      <c r="AT103" s="89" t="str">
        <f>HYPERLINK("https://www.youtube.com/channel/UC1NI1UZs29qeVJzkvTrJabw")</f>
        <v>https://www.youtube.com/channel/UC1NI1UZs29qeVJzkvTrJabw</v>
      </c>
      <c r="AU103" s="83" t="str">
        <f>REPLACE(INDEX(GroupVertices[Group],MATCH(Vertices[[#This Row],[Vertex]],GroupVertices[Vertex],0)),1,1,"")</f>
        <v>9</v>
      </c>
      <c r="AV103" s="45"/>
      <c r="AW103" s="46"/>
      <c r="AX103" s="45"/>
      <c r="AY103" s="46"/>
      <c r="AZ103" s="45"/>
      <c r="BA103" s="46"/>
      <c r="BB103" s="45"/>
      <c r="BC103" s="46"/>
      <c r="BD103" s="45"/>
      <c r="BE103" s="110" t="s">
        <v>1874</v>
      </c>
      <c r="BF103" s="110" t="s">
        <v>1874</v>
      </c>
      <c r="BG103" s="110" t="s">
        <v>1874</v>
      </c>
      <c r="BH103" s="110" t="s">
        <v>1874</v>
      </c>
      <c r="BI103" s="2"/>
    </row>
    <row r="104" spans="1:61" ht="15">
      <c r="A104" s="61" t="s">
        <v>319</v>
      </c>
      <c r="B104" s="62" t="s">
        <v>2893</v>
      </c>
      <c r="C104" s="62"/>
      <c r="D104" s="63">
        <v>100</v>
      </c>
      <c r="E104" s="65">
        <v>50</v>
      </c>
      <c r="F104" s="100" t="str">
        <f>HYPERLINK("https://yt3.ggpht.com/ytc/AGIKgqMTLIdJcUH9PyWxxgAWz1SlbEW6A1EfVSuK0VSJ=s88-c-k-c0x00ffffff-no-rj")</f>
        <v>https://yt3.ggpht.com/ytc/AGIKgqMTLIdJcUH9PyWxxgAWz1SlbEW6A1EfVSuK0VSJ=s88-c-k-c0x00ffffff-no-rj</v>
      </c>
      <c r="G104" s="62"/>
      <c r="H104" s="66" t="s">
        <v>1157</v>
      </c>
      <c r="I104" s="67"/>
      <c r="J104" s="67" t="s">
        <v>159</v>
      </c>
      <c r="K104" s="66" t="s">
        <v>1157</v>
      </c>
      <c r="L104" s="70"/>
      <c r="M104" s="71">
        <v>8690.953125</v>
      </c>
      <c r="N104" s="71">
        <v>5550.708984375</v>
      </c>
      <c r="O104" s="72"/>
      <c r="P104" s="73"/>
      <c r="Q104" s="73"/>
      <c r="R104" s="94"/>
      <c r="S104" s="45">
        <v>0</v>
      </c>
      <c r="T104" s="45">
        <v>1</v>
      </c>
      <c r="U104" s="46">
        <v>0</v>
      </c>
      <c r="V104" s="46">
        <v>0.014041</v>
      </c>
      <c r="W104" s="46">
        <v>0</v>
      </c>
      <c r="X104" s="46">
        <v>0.002077</v>
      </c>
      <c r="Y104" s="46">
        <v>0</v>
      </c>
      <c r="Z104" s="46">
        <v>0</v>
      </c>
      <c r="AA104" s="68">
        <v>104</v>
      </c>
      <c r="AB104" s="68"/>
      <c r="AC104" s="69"/>
      <c r="AD104" s="83" t="s">
        <v>1157</v>
      </c>
      <c r="AE104" s="83"/>
      <c r="AF104" s="83"/>
      <c r="AG104" s="83"/>
      <c r="AH104" s="83"/>
      <c r="AI104" s="83" t="s">
        <v>2182</v>
      </c>
      <c r="AJ104" s="83" t="s">
        <v>2568</v>
      </c>
      <c r="AK104" s="89" t="str">
        <f>HYPERLINK("https://yt3.ggpht.com/ytc/AGIKgqMTLIdJcUH9PyWxxgAWz1SlbEW6A1EfVSuK0VSJ=s88-c-k-c0x00ffffff-no-rj")</f>
        <v>https://yt3.ggpht.com/ytc/AGIKgqMTLIdJcUH9PyWxxgAWz1SlbEW6A1EfVSuK0VSJ=s88-c-k-c0x00ffffff-no-rj</v>
      </c>
      <c r="AL104" s="83">
        <v>45</v>
      </c>
      <c r="AM104" s="83">
        <v>0</v>
      </c>
      <c r="AN104" s="83">
        <v>3</v>
      </c>
      <c r="AO104" s="83" t="b">
        <v>0</v>
      </c>
      <c r="AP104" s="83">
        <v>1</v>
      </c>
      <c r="AQ104" s="83"/>
      <c r="AR104" s="83"/>
      <c r="AS104" s="83" t="s">
        <v>2744</v>
      </c>
      <c r="AT104" s="89" t="str">
        <f>HYPERLINK("https://www.youtube.com/channel/UC4IJp6gm5YFySJVfeHs3fEw")</f>
        <v>https://www.youtube.com/channel/UC4IJp6gm5YFySJVfeHs3fEw</v>
      </c>
      <c r="AU104" s="83" t="str">
        <f>REPLACE(INDEX(GroupVertices[Group],MATCH(Vertices[[#This Row],[Vertex]],GroupVertices[Vertex],0)),1,1,"")</f>
        <v>9</v>
      </c>
      <c r="AV104" s="45"/>
      <c r="AW104" s="46"/>
      <c r="AX104" s="45"/>
      <c r="AY104" s="46"/>
      <c r="AZ104" s="45"/>
      <c r="BA104" s="46"/>
      <c r="BB104" s="45"/>
      <c r="BC104" s="46"/>
      <c r="BD104" s="45"/>
      <c r="BE104" s="110" t="s">
        <v>1874</v>
      </c>
      <c r="BF104" s="110" t="s">
        <v>1874</v>
      </c>
      <c r="BG104" s="110" t="s">
        <v>1874</v>
      </c>
      <c r="BH104" s="110" t="s">
        <v>1874</v>
      </c>
      <c r="BI104" s="2"/>
    </row>
    <row r="105" spans="1:61" ht="15">
      <c r="A105" s="61" t="s">
        <v>320</v>
      </c>
      <c r="B105" s="62" t="s">
        <v>2893</v>
      </c>
      <c r="C105" s="62"/>
      <c r="D105" s="63">
        <v>100</v>
      </c>
      <c r="E105" s="65">
        <v>50</v>
      </c>
      <c r="F105" s="100" t="str">
        <f>HYPERLINK("https://yt3.ggpht.com/ytc/AGIKgqPICIlsREz20CNJscgGADnDjaTmyQSWPu8iJQ=s88-c-k-c0x00ffffff-no-rj")</f>
        <v>https://yt3.ggpht.com/ytc/AGIKgqPICIlsREz20CNJscgGADnDjaTmyQSWPu8iJQ=s88-c-k-c0x00ffffff-no-rj</v>
      </c>
      <c r="G105" s="62"/>
      <c r="H105" s="66" t="s">
        <v>1158</v>
      </c>
      <c r="I105" s="67"/>
      <c r="J105" s="67" t="s">
        <v>159</v>
      </c>
      <c r="K105" s="66" t="s">
        <v>1158</v>
      </c>
      <c r="L105" s="70"/>
      <c r="M105" s="71">
        <v>5439.39404296875</v>
      </c>
      <c r="N105" s="71">
        <v>5898.28662109375</v>
      </c>
      <c r="O105" s="72"/>
      <c r="P105" s="73"/>
      <c r="Q105" s="73"/>
      <c r="R105" s="94"/>
      <c r="S105" s="45">
        <v>0</v>
      </c>
      <c r="T105" s="45">
        <v>1</v>
      </c>
      <c r="U105" s="46">
        <v>0</v>
      </c>
      <c r="V105" s="46">
        <v>0.030154</v>
      </c>
      <c r="W105" s="46">
        <v>0</v>
      </c>
      <c r="X105" s="46">
        <v>0.002061</v>
      </c>
      <c r="Y105" s="46">
        <v>0</v>
      </c>
      <c r="Z105" s="46">
        <v>0</v>
      </c>
      <c r="AA105" s="68">
        <v>105</v>
      </c>
      <c r="AB105" s="68"/>
      <c r="AC105" s="69"/>
      <c r="AD105" s="83" t="s">
        <v>1158</v>
      </c>
      <c r="AE105" s="83"/>
      <c r="AF105" s="83"/>
      <c r="AG105" s="83"/>
      <c r="AH105" s="83"/>
      <c r="AI105" s="83" t="s">
        <v>2183</v>
      </c>
      <c r="AJ105" s="83" t="s">
        <v>2569</v>
      </c>
      <c r="AK105" s="89" t="str">
        <f>HYPERLINK("https://yt3.ggpht.com/ytc/AGIKgqPICIlsREz20CNJscgGADnDjaTmyQSWPu8iJQ=s88-c-k-c0x00ffffff-no-rj")</f>
        <v>https://yt3.ggpht.com/ytc/AGIKgqPICIlsREz20CNJscgGADnDjaTmyQSWPu8iJQ=s88-c-k-c0x00ffffff-no-rj</v>
      </c>
      <c r="AL105" s="83">
        <v>0</v>
      </c>
      <c r="AM105" s="83">
        <v>0</v>
      </c>
      <c r="AN105" s="83">
        <v>1</v>
      </c>
      <c r="AO105" s="83" t="b">
        <v>0</v>
      </c>
      <c r="AP105" s="83">
        <v>0</v>
      </c>
      <c r="AQ105" s="83"/>
      <c r="AR105" s="83"/>
      <c r="AS105" s="83" t="s">
        <v>2744</v>
      </c>
      <c r="AT105" s="89" t="str">
        <f>HYPERLINK("https://www.youtube.com/channel/UCeGa5FIY31wzupUsnFNWEJQ")</f>
        <v>https://www.youtube.com/channel/UCeGa5FIY31wzupUsnFNWEJQ</v>
      </c>
      <c r="AU105" s="83" t="str">
        <f>REPLACE(INDEX(GroupVertices[Group],MATCH(Vertices[[#This Row],[Vertex]],GroupVertices[Vertex],0)),1,1,"")</f>
        <v>5</v>
      </c>
      <c r="AV105" s="45"/>
      <c r="AW105" s="46"/>
      <c r="AX105" s="45"/>
      <c r="AY105" s="46"/>
      <c r="AZ105" s="45"/>
      <c r="BA105" s="46"/>
      <c r="BB105" s="45"/>
      <c r="BC105" s="46"/>
      <c r="BD105" s="45"/>
      <c r="BE105" s="110" t="s">
        <v>1874</v>
      </c>
      <c r="BF105" s="110" t="s">
        <v>1874</v>
      </c>
      <c r="BG105" s="110" t="s">
        <v>1874</v>
      </c>
      <c r="BH105" s="110" t="s">
        <v>1874</v>
      </c>
      <c r="BI105" s="2"/>
    </row>
    <row r="106" spans="1:61" ht="15">
      <c r="A106" s="61" t="s">
        <v>321</v>
      </c>
      <c r="B106" s="62" t="s">
        <v>2893</v>
      </c>
      <c r="C106" s="62"/>
      <c r="D106" s="63">
        <v>100</v>
      </c>
      <c r="E106" s="65">
        <v>50</v>
      </c>
      <c r="F106" s="100" t="str">
        <f>HYPERLINK("https://yt3.ggpht.com/wxOWq_VdqiTwIhYoSUj-HhyyL_kh-ssS4vpIM86UObo_RYXFE37aEhL5orbJY2Jx2ktLGZ57=s88-c-k-c0x00ffffff-no-rj")</f>
        <v>https://yt3.ggpht.com/wxOWq_VdqiTwIhYoSUj-HhyyL_kh-ssS4vpIM86UObo_RYXFE37aEhL5orbJY2Jx2ktLGZ57=s88-c-k-c0x00ffffff-no-rj</v>
      </c>
      <c r="G106" s="62"/>
      <c r="H106" s="66" t="s">
        <v>1159</v>
      </c>
      <c r="I106" s="67"/>
      <c r="J106" s="67" t="s">
        <v>159</v>
      </c>
      <c r="K106" s="66" t="s">
        <v>1159</v>
      </c>
      <c r="L106" s="70"/>
      <c r="M106" s="71">
        <v>9729.7451171875</v>
      </c>
      <c r="N106" s="71">
        <v>3819.8427734375</v>
      </c>
      <c r="O106" s="72"/>
      <c r="P106" s="73"/>
      <c r="Q106" s="73"/>
      <c r="R106" s="94"/>
      <c r="S106" s="45">
        <v>0</v>
      </c>
      <c r="T106" s="45">
        <v>1</v>
      </c>
      <c r="U106" s="46">
        <v>0</v>
      </c>
      <c r="V106" s="46">
        <v>0.005404</v>
      </c>
      <c r="W106" s="46">
        <v>0</v>
      </c>
      <c r="X106" s="46">
        <v>0.002106</v>
      </c>
      <c r="Y106" s="46">
        <v>0</v>
      </c>
      <c r="Z106" s="46">
        <v>0</v>
      </c>
      <c r="AA106" s="68">
        <v>106</v>
      </c>
      <c r="AB106" s="68"/>
      <c r="AC106" s="69"/>
      <c r="AD106" s="83" t="s">
        <v>1159</v>
      </c>
      <c r="AE106" s="83" t="s">
        <v>1963</v>
      </c>
      <c r="AF106" s="83"/>
      <c r="AG106" s="83"/>
      <c r="AH106" s="83"/>
      <c r="AI106" s="83" t="s">
        <v>2184</v>
      </c>
      <c r="AJ106" s="92">
        <v>44235.61262731482</v>
      </c>
      <c r="AK106" s="89" t="str">
        <f>HYPERLINK("https://yt3.ggpht.com/wxOWq_VdqiTwIhYoSUj-HhyyL_kh-ssS4vpIM86UObo_RYXFE37aEhL5orbJY2Jx2ktLGZ57=s88-c-k-c0x00ffffff-no-rj")</f>
        <v>https://yt3.ggpht.com/wxOWq_VdqiTwIhYoSUj-HhyyL_kh-ssS4vpIM86UObo_RYXFE37aEhL5orbJY2Jx2ktLGZ57=s88-c-k-c0x00ffffff-no-rj</v>
      </c>
      <c r="AL106" s="83">
        <v>0</v>
      </c>
      <c r="AM106" s="83">
        <v>0</v>
      </c>
      <c r="AN106" s="83">
        <v>20</v>
      </c>
      <c r="AO106" s="83" t="b">
        <v>0</v>
      </c>
      <c r="AP106" s="83">
        <v>0</v>
      </c>
      <c r="AQ106" s="83"/>
      <c r="AR106" s="83"/>
      <c r="AS106" s="83" t="s">
        <v>2744</v>
      </c>
      <c r="AT106" s="89" t="str">
        <f>HYPERLINK("https://www.youtube.com/channel/UC1XPJ5vLtXBZTfibRvUtRtQ")</f>
        <v>https://www.youtube.com/channel/UC1XPJ5vLtXBZTfibRvUtRtQ</v>
      </c>
      <c r="AU106" s="83" t="str">
        <f>REPLACE(INDEX(GroupVertices[Group],MATCH(Vertices[[#This Row],[Vertex]],GroupVertices[Vertex],0)),1,1,"")</f>
        <v>14</v>
      </c>
      <c r="AV106" s="45"/>
      <c r="AW106" s="46"/>
      <c r="AX106" s="45"/>
      <c r="AY106" s="46"/>
      <c r="AZ106" s="45"/>
      <c r="BA106" s="46"/>
      <c r="BB106" s="45"/>
      <c r="BC106" s="46"/>
      <c r="BD106" s="45"/>
      <c r="BE106" s="110" t="s">
        <v>1874</v>
      </c>
      <c r="BF106" s="110" t="s">
        <v>1874</v>
      </c>
      <c r="BG106" s="110" t="s">
        <v>1874</v>
      </c>
      <c r="BH106" s="110" t="s">
        <v>1874</v>
      </c>
      <c r="BI106" s="2"/>
    </row>
    <row r="107" spans="1:61" ht="15">
      <c r="A107" s="61" t="s">
        <v>322</v>
      </c>
      <c r="B107" s="62" t="s">
        <v>2893</v>
      </c>
      <c r="C107" s="62"/>
      <c r="D107" s="63">
        <v>100</v>
      </c>
      <c r="E107" s="65">
        <v>50</v>
      </c>
      <c r="F107" s="100" t="str">
        <f>HYPERLINK("https://yt3.ggpht.com/ytc/AGIKgqODHzpk3pfH6GtRqWwPyiYl6L706QLJFGriGggzAQ=s88-c-k-c0x00ffffff-no-rj")</f>
        <v>https://yt3.ggpht.com/ytc/AGIKgqODHzpk3pfH6GtRqWwPyiYl6L706QLJFGriGggzAQ=s88-c-k-c0x00ffffff-no-rj</v>
      </c>
      <c r="G107" s="62"/>
      <c r="H107" s="66" t="s">
        <v>1160</v>
      </c>
      <c r="I107" s="67"/>
      <c r="J107" s="67" t="s">
        <v>159</v>
      </c>
      <c r="K107" s="66" t="s">
        <v>1160</v>
      </c>
      <c r="L107" s="70"/>
      <c r="M107" s="71">
        <v>9457.166015625</v>
      </c>
      <c r="N107" s="71">
        <v>3819.8427734375</v>
      </c>
      <c r="O107" s="72"/>
      <c r="P107" s="73"/>
      <c r="Q107" s="73"/>
      <c r="R107" s="94"/>
      <c r="S107" s="45">
        <v>0</v>
      </c>
      <c r="T107" s="45">
        <v>1</v>
      </c>
      <c r="U107" s="46">
        <v>0</v>
      </c>
      <c r="V107" s="46">
        <v>0.005404</v>
      </c>
      <c r="W107" s="46">
        <v>0</v>
      </c>
      <c r="X107" s="46">
        <v>0.002106</v>
      </c>
      <c r="Y107" s="46">
        <v>0</v>
      </c>
      <c r="Z107" s="46">
        <v>0</v>
      </c>
      <c r="AA107" s="68">
        <v>107</v>
      </c>
      <c r="AB107" s="68"/>
      <c r="AC107" s="69"/>
      <c r="AD107" s="83" t="s">
        <v>1160</v>
      </c>
      <c r="AE107" s="83"/>
      <c r="AF107" s="83"/>
      <c r="AG107" s="83"/>
      <c r="AH107" s="83"/>
      <c r="AI107" s="83" t="s">
        <v>2185</v>
      </c>
      <c r="AJ107" s="83" t="s">
        <v>2570</v>
      </c>
      <c r="AK107" s="89" t="str">
        <f>HYPERLINK("https://yt3.ggpht.com/ytc/AGIKgqODHzpk3pfH6GtRqWwPyiYl6L706QLJFGriGggzAQ=s88-c-k-c0x00ffffff-no-rj")</f>
        <v>https://yt3.ggpht.com/ytc/AGIKgqODHzpk3pfH6GtRqWwPyiYl6L706QLJFGriGggzAQ=s88-c-k-c0x00ffffff-no-rj</v>
      </c>
      <c r="AL107" s="83">
        <v>0</v>
      </c>
      <c r="AM107" s="83">
        <v>0</v>
      </c>
      <c r="AN107" s="83">
        <v>5</v>
      </c>
      <c r="AO107" s="83" t="b">
        <v>0</v>
      </c>
      <c r="AP107" s="83">
        <v>0</v>
      </c>
      <c r="AQ107" s="83"/>
      <c r="AR107" s="83"/>
      <c r="AS107" s="83" t="s">
        <v>2744</v>
      </c>
      <c r="AT107" s="89" t="str">
        <f>HYPERLINK("https://www.youtube.com/channel/UC8snplx2TiU5gGqiz0U1qIA")</f>
        <v>https://www.youtube.com/channel/UC8snplx2TiU5gGqiz0U1qIA</v>
      </c>
      <c r="AU107" s="83" t="str">
        <f>REPLACE(INDEX(GroupVertices[Group],MATCH(Vertices[[#This Row],[Vertex]],GroupVertices[Vertex],0)),1,1,"")</f>
        <v>14</v>
      </c>
      <c r="AV107" s="45"/>
      <c r="AW107" s="46"/>
      <c r="AX107" s="45"/>
      <c r="AY107" s="46"/>
      <c r="AZ107" s="45"/>
      <c r="BA107" s="46"/>
      <c r="BB107" s="45"/>
      <c r="BC107" s="46"/>
      <c r="BD107" s="45"/>
      <c r="BE107" s="110" t="s">
        <v>1874</v>
      </c>
      <c r="BF107" s="110" t="s">
        <v>1874</v>
      </c>
      <c r="BG107" s="110" t="s">
        <v>1874</v>
      </c>
      <c r="BH107" s="110" t="s">
        <v>1874</v>
      </c>
      <c r="BI107" s="2"/>
    </row>
    <row r="108" spans="1:61" ht="15">
      <c r="A108" s="61" t="s">
        <v>323</v>
      </c>
      <c r="B108" s="62" t="s">
        <v>2893</v>
      </c>
      <c r="C108" s="62"/>
      <c r="D108" s="63">
        <v>100</v>
      </c>
      <c r="E108" s="65">
        <v>50</v>
      </c>
      <c r="F108" s="100" t="str">
        <f>HYPERLINK("https://yt3.ggpht.com/pRx75pfgDnmuqwDZS1YjAXkMUAxyyYU-jcfKAoy5fQyVbAt3StzZUDu1Q8Ni6uehDwq6TuHBAyo=s88-c-k-c0x00ffffff-no-rj")</f>
        <v>https://yt3.ggpht.com/pRx75pfgDnmuqwDZS1YjAXkMUAxyyYU-jcfKAoy5fQyVbAt3StzZUDu1Q8Ni6uehDwq6TuHBAyo=s88-c-k-c0x00ffffff-no-rj</v>
      </c>
      <c r="G108" s="62"/>
      <c r="H108" s="66" t="s">
        <v>1161</v>
      </c>
      <c r="I108" s="67"/>
      <c r="J108" s="67" t="s">
        <v>159</v>
      </c>
      <c r="K108" s="66" t="s">
        <v>1161</v>
      </c>
      <c r="L108" s="70"/>
      <c r="M108" s="71">
        <v>9457.166015625</v>
      </c>
      <c r="N108" s="71">
        <v>4287.96044921875</v>
      </c>
      <c r="O108" s="72"/>
      <c r="P108" s="73"/>
      <c r="Q108" s="73"/>
      <c r="R108" s="94"/>
      <c r="S108" s="45">
        <v>0</v>
      </c>
      <c r="T108" s="45">
        <v>1</v>
      </c>
      <c r="U108" s="46">
        <v>0</v>
      </c>
      <c r="V108" s="46">
        <v>0.005404</v>
      </c>
      <c r="W108" s="46">
        <v>0</v>
      </c>
      <c r="X108" s="46">
        <v>0.002106</v>
      </c>
      <c r="Y108" s="46">
        <v>0</v>
      </c>
      <c r="Z108" s="46">
        <v>0</v>
      </c>
      <c r="AA108" s="68">
        <v>108</v>
      </c>
      <c r="AB108" s="68"/>
      <c r="AC108" s="69"/>
      <c r="AD108" s="83" t="s">
        <v>1161</v>
      </c>
      <c r="AE108" s="83"/>
      <c r="AF108" s="83"/>
      <c r="AG108" s="83"/>
      <c r="AH108" s="83"/>
      <c r="AI108" s="83" t="s">
        <v>2186</v>
      </c>
      <c r="AJ108" s="83" t="s">
        <v>2571</v>
      </c>
      <c r="AK108" s="89" t="str">
        <f>HYPERLINK("https://yt3.ggpht.com/pRx75pfgDnmuqwDZS1YjAXkMUAxyyYU-jcfKAoy5fQyVbAt3StzZUDu1Q8Ni6uehDwq6TuHBAyo=s88-c-k-c0x00ffffff-no-rj")</f>
        <v>https://yt3.ggpht.com/pRx75pfgDnmuqwDZS1YjAXkMUAxyyYU-jcfKAoy5fQyVbAt3StzZUDu1Q8Ni6uehDwq6TuHBAyo=s88-c-k-c0x00ffffff-no-rj</v>
      </c>
      <c r="AL108" s="83">
        <v>241</v>
      </c>
      <c r="AM108" s="83">
        <v>0</v>
      </c>
      <c r="AN108" s="83">
        <v>4</v>
      </c>
      <c r="AO108" s="83" t="b">
        <v>0</v>
      </c>
      <c r="AP108" s="83">
        <v>15</v>
      </c>
      <c r="AQ108" s="83"/>
      <c r="AR108" s="83"/>
      <c r="AS108" s="83" t="s">
        <v>2744</v>
      </c>
      <c r="AT108" s="89" t="str">
        <f>HYPERLINK("https://www.youtube.com/channel/UC5P23b4KYX5N4tjeS63xC9g")</f>
        <v>https://www.youtube.com/channel/UC5P23b4KYX5N4tjeS63xC9g</v>
      </c>
      <c r="AU108" s="83" t="str">
        <f>REPLACE(INDEX(GroupVertices[Group],MATCH(Vertices[[#This Row],[Vertex]],GroupVertices[Vertex],0)),1,1,"")</f>
        <v>14</v>
      </c>
      <c r="AV108" s="45"/>
      <c r="AW108" s="46"/>
      <c r="AX108" s="45"/>
      <c r="AY108" s="46"/>
      <c r="AZ108" s="45"/>
      <c r="BA108" s="46"/>
      <c r="BB108" s="45"/>
      <c r="BC108" s="46"/>
      <c r="BD108" s="45"/>
      <c r="BE108" s="110" t="s">
        <v>1874</v>
      </c>
      <c r="BF108" s="110" t="s">
        <v>1874</v>
      </c>
      <c r="BG108" s="110" t="s">
        <v>1874</v>
      </c>
      <c r="BH108" s="110" t="s">
        <v>1874</v>
      </c>
      <c r="BI108" s="2"/>
    </row>
    <row r="109" spans="1:61" ht="15">
      <c r="A109" s="61" t="s">
        <v>324</v>
      </c>
      <c r="B109" s="62" t="s">
        <v>2893</v>
      </c>
      <c r="C109" s="62"/>
      <c r="D109" s="63">
        <v>100</v>
      </c>
      <c r="E109" s="65">
        <v>50</v>
      </c>
      <c r="F109" s="100" t="str">
        <f>HYPERLINK("https://yt3.ggpht.com/ytc/AGIKgqOVSuHmrb4dglyNXMFjY3I3cXutOpT_VtRf4QeI=s88-c-k-c0x00ffffff-no-rj")</f>
        <v>https://yt3.ggpht.com/ytc/AGIKgqOVSuHmrb4dglyNXMFjY3I3cXutOpT_VtRf4QeI=s88-c-k-c0x00ffffff-no-rj</v>
      </c>
      <c r="G109" s="62"/>
      <c r="H109" s="66" t="s">
        <v>1162</v>
      </c>
      <c r="I109" s="67"/>
      <c r="J109" s="67" t="s">
        <v>159</v>
      </c>
      <c r="K109" s="66" t="s">
        <v>1162</v>
      </c>
      <c r="L109" s="70"/>
      <c r="M109" s="71">
        <v>3985.638671875</v>
      </c>
      <c r="N109" s="71">
        <v>1148.7613525390625</v>
      </c>
      <c r="O109" s="72"/>
      <c r="P109" s="73"/>
      <c r="Q109" s="73"/>
      <c r="R109" s="94"/>
      <c r="S109" s="45">
        <v>0</v>
      </c>
      <c r="T109" s="45">
        <v>1</v>
      </c>
      <c r="U109" s="46">
        <v>0</v>
      </c>
      <c r="V109" s="46">
        <v>0.046698</v>
      </c>
      <c r="W109" s="46">
        <v>0</v>
      </c>
      <c r="X109" s="46">
        <v>0.002058</v>
      </c>
      <c r="Y109" s="46">
        <v>0</v>
      </c>
      <c r="Z109" s="46">
        <v>0</v>
      </c>
      <c r="AA109" s="68">
        <v>109</v>
      </c>
      <c r="AB109" s="68"/>
      <c r="AC109" s="69"/>
      <c r="AD109" s="83" t="s">
        <v>1162</v>
      </c>
      <c r="AE109" s="83"/>
      <c r="AF109" s="83"/>
      <c r="AG109" s="83"/>
      <c r="AH109" s="83"/>
      <c r="AI109" s="83" t="s">
        <v>2187</v>
      </c>
      <c r="AJ109" s="92">
        <v>40765.95376157408</v>
      </c>
      <c r="AK109" s="89" t="str">
        <f>HYPERLINK("https://yt3.ggpht.com/ytc/AGIKgqOVSuHmrb4dglyNXMFjY3I3cXutOpT_VtRf4QeI=s88-c-k-c0x00ffffff-no-rj")</f>
        <v>https://yt3.ggpht.com/ytc/AGIKgqOVSuHmrb4dglyNXMFjY3I3cXutOpT_VtRf4QeI=s88-c-k-c0x00ffffff-no-rj</v>
      </c>
      <c r="AL109" s="83">
        <v>0</v>
      </c>
      <c r="AM109" s="83">
        <v>0</v>
      </c>
      <c r="AN109" s="83">
        <v>6</v>
      </c>
      <c r="AO109" s="83" t="b">
        <v>0</v>
      </c>
      <c r="AP109" s="83">
        <v>0</v>
      </c>
      <c r="AQ109" s="83"/>
      <c r="AR109" s="83"/>
      <c r="AS109" s="83" t="s">
        <v>2744</v>
      </c>
      <c r="AT109" s="89" t="str">
        <f>HYPERLINK("https://www.youtube.com/channel/UCYln4qk3saFeNWFq8nd7KKA")</f>
        <v>https://www.youtube.com/channel/UCYln4qk3saFeNWFq8nd7KKA</v>
      </c>
      <c r="AU109" s="83" t="str">
        <f>REPLACE(INDEX(GroupVertices[Group],MATCH(Vertices[[#This Row],[Vertex]],GroupVertices[Vertex],0)),1,1,"")</f>
        <v>3</v>
      </c>
      <c r="AV109" s="45"/>
      <c r="AW109" s="46"/>
      <c r="AX109" s="45"/>
      <c r="AY109" s="46"/>
      <c r="AZ109" s="45"/>
      <c r="BA109" s="46"/>
      <c r="BB109" s="45"/>
      <c r="BC109" s="46"/>
      <c r="BD109" s="45"/>
      <c r="BE109" s="110" t="s">
        <v>1874</v>
      </c>
      <c r="BF109" s="110" t="s">
        <v>1874</v>
      </c>
      <c r="BG109" s="110" t="s">
        <v>1874</v>
      </c>
      <c r="BH109" s="110" t="s">
        <v>1874</v>
      </c>
      <c r="BI109" s="2"/>
    </row>
    <row r="110" spans="1:61" ht="15">
      <c r="A110" s="61" t="s">
        <v>325</v>
      </c>
      <c r="B110" s="62" t="s">
        <v>2893</v>
      </c>
      <c r="C110" s="62"/>
      <c r="D110" s="63">
        <v>100</v>
      </c>
      <c r="E110" s="65">
        <v>50</v>
      </c>
      <c r="F110" s="100" t="str">
        <f>HYPERLINK("https://yt3.ggpht.com/ytc/AGIKgqMaGhMeG7v03W0nLMhlXN8j6Az0-OCKLZg2vQ=s88-c-k-c0x00ffffff-no-rj")</f>
        <v>https://yt3.ggpht.com/ytc/AGIKgqMaGhMeG7v03W0nLMhlXN8j6Az0-OCKLZg2vQ=s88-c-k-c0x00ffffff-no-rj</v>
      </c>
      <c r="G110" s="62"/>
      <c r="H110" s="66" t="s">
        <v>1163</v>
      </c>
      <c r="I110" s="67"/>
      <c r="J110" s="67" t="s">
        <v>159</v>
      </c>
      <c r="K110" s="66" t="s">
        <v>1163</v>
      </c>
      <c r="L110" s="70"/>
      <c r="M110" s="71">
        <v>7446.06396484375</v>
      </c>
      <c r="N110" s="71">
        <v>2457.619384765625</v>
      </c>
      <c r="O110" s="72"/>
      <c r="P110" s="73"/>
      <c r="Q110" s="73"/>
      <c r="R110" s="94"/>
      <c r="S110" s="45">
        <v>0</v>
      </c>
      <c r="T110" s="45">
        <v>1</v>
      </c>
      <c r="U110" s="46">
        <v>0</v>
      </c>
      <c r="V110" s="46">
        <v>0.015981</v>
      </c>
      <c r="W110" s="46">
        <v>0</v>
      </c>
      <c r="X110" s="46">
        <v>0.00207</v>
      </c>
      <c r="Y110" s="46">
        <v>0</v>
      </c>
      <c r="Z110" s="46">
        <v>0</v>
      </c>
      <c r="AA110" s="68">
        <v>110</v>
      </c>
      <c r="AB110" s="68"/>
      <c r="AC110" s="69"/>
      <c r="AD110" s="83" t="s">
        <v>1163</v>
      </c>
      <c r="AE110" s="83"/>
      <c r="AF110" s="83"/>
      <c r="AG110" s="83"/>
      <c r="AH110" s="83"/>
      <c r="AI110" s="83" t="s">
        <v>2188</v>
      </c>
      <c r="AJ110" s="83" t="s">
        <v>2572</v>
      </c>
      <c r="AK110" s="89" t="str">
        <f>HYPERLINK("https://yt3.ggpht.com/ytc/AGIKgqMaGhMeG7v03W0nLMhlXN8j6Az0-OCKLZg2vQ=s88-c-k-c0x00ffffff-no-rj")</f>
        <v>https://yt3.ggpht.com/ytc/AGIKgqMaGhMeG7v03W0nLMhlXN8j6Az0-OCKLZg2vQ=s88-c-k-c0x00ffffff-no-rj</v>
      </c>
      <c r="AL110" s="83">
        <v>0</v>
      </c>
      <c r="AM110" s="83">
        <v>0</v>
      </c>
      <c r="AN110" s="83">
        <v>0</v>
      </c>
      <c r="AO110" s="83" t="b">
        <v>0</v>
      </c>
      <c r="AP110" s="83">
        <v>0</v>
      </c>
      <c r="AQ110" s="83"/>
      <c r="AR110" s="83"/>
      <c r="AS110" s="83" t="s">
        <v>2744</v>
      </c>
      <c r="AT110" s="89" t="str">
        <f>HYPERLINK("https://www.youtube.com/channel/UCAS2BN5rQ4UWOT4iFcaezAQ")</f>
        <v>https://www.youtube.com/channel/UCAS2BN5rQ4UWOT4iFcaezAQ</v>
      </c>
      <c r="AU110" s="83" t="str">
        <f>REPLACE(INDEX(GroupVertices[Group],MATCH(Vertices[[#This Row],[Vertex]],GroupVertices[Vertex],0)),1,1,"")</f>
        <v>11</v>
      </c>
      <c r="AV110" s="45"/>
      <c r="AW110" s="46"/>
      <c r="AX110" s="45"/>
      <c r="AY110" s="46"/>
      <c r="AZ110" s="45"/>
      <c r="BA110" s="46"/>
      <c r="BB110" s="45"/>
      <c r="BC110" s="46"/>
      <c r="BD110" s="45"/>
      <c r="BE110" s="110" t="s">
        <v>1874</v>
      </c>
      <c r="BF110" s="110" t="s">
        <v>1874</v>
      </c>
      <c r="BG110" s="110" t="s">
        <v>1874</v>
      </c>
      <c r="BH110" s="110" t="s">
        <v>1874</v>
      </c>
      <c r="BI110" s="2"/>
    </row>
    <row r="111" spans="1:61" ht="15">
      <c r="A111" s="61" t="s">
        <v>638</v>
      </c>
      <c r="B111" s="62" t="s">
        <v>2893</v>
      </c>
      <c r="C111" s="62"/>
      <c r="D111" s="63">
        <v>224.75247524752476</v>
      </c>
      <c r="E111" s="65">
        <v>100</v>
      </c>
      <c r="F111" s="100" t="str">
        <f>HYPERLINK("https://yt3.ggpht.com/capWmL_UHRSBYk1qyolwPJ0J0zFLTKZcoIkxkxgZA-G8omfq3hSu7FH3-wSqWmiqMEQzRWzr=s88-c-k-c0x00ffffff-no-rj")</f>
        <v>https://yt3.ggpht.com/capWmL_UHRSBYk1qyolwPJ0J0zFLTKZcoIkxkxgZA-G8omfq3hSu7FH3-wSqWmiqMEQzRWzr=s88-c-k-c0x00ffffff-no-rj</v>
      </c>
      <c r="G111" s="62"/>
      <c r="H111" s="66" t="s">
        <v>1895</v>
      </c>
      <c r="I111" s="67"/>
      <c r="J111" s="67" t="s">
        <v>75</v>
      </c>
      <c r="K111" s="66" t="s">
        <v>1895</v>
      </c>
      <c r="L111" s="70"/>
      <c r="M111" s="71">
        <v>7446.06396484375</v>
      </c>
      <c r="N111" s="71">
        <v>4227.10546875</v>
      </c>
      <c r="O111" s="72"/>
      <c r="P111" s="73"/>
      <c r="Q111" s="73"/>
      <c r="R111" s="94"/>
      <c r="S111" s="45">
        <v>14</v>
      </c>
      <c r="T111" s="45">
        <v>1</v>
      </c>
      <c r="U111" s="46">
        <v>156</v>
      </c>
      <c r="V111" s="46">
        <v>0.030733</v>
      </c>
      <c r="W111" s="46">
        <v>0</v>
      </c>
      <c r="X111" s="46">
        <v>0.006107</v>
      </c>
      <c r="Y111" s="46">
        <v>0</v>
      </c>
      <c r="Z111" s="46">
        <v>0</v>
      </c>
      <c r="AA111" s="68">
        <v>111</v>
      </c>
      <c r="AB111" s="68"/>
      <c r="AC111" s="69"/>
      <c r="AD111" s="83" t="s">
        <v>1895</v>
      </c>
      <c r="AE111" s="83" t="s">
        <v>1964</v>
      </c>
      <c r="AF111" s="83"/>
      <c r="AG111" s="83"/>
      <c r="AH111" s="83"/>
      <c r="AI111" s="83" t="s">
        <v>2189</v>
      </c>
      <c r="AJ111" s="92">
        <v>44537.48473379629</v>
      </c>
      <c r="AK111" s="89" t="str">
        <f>HYPERLINK("https://yt3.ggpht.com/capWmL_UHRSBYk1qyolwPJ0J0zFLTKZcoIkxkxgZA-G8omfq3hSu7FH3-wSqWmiqMEQzRWzr=s88-c-k-c0x00ffffff-no-rj")</f>
        <v>https://yt3.ggpht.com/capWmL_UHRSBYk1qyolwPJ0J0zFLTKZcoIkxkxgZA-G8omfq3hSu7FH3-wSqWmiqMEQzRWzr=s88-c-k-c0x00ffffff-no-rj</v>
      </c>
      <c r="AL111" s="83">
        <v>60283</v>
      </c>
      <c r="AM111" s="83">
        <v>0</v>
      </c>
      <c r="AN111" s="83">
        <v>941</v>
      </c>
      <c r="AO111" s="83" t="b">
        <v>0</v>
      </c>
      <c r="AP111" s="83">
        <v>56</v>
      </c>
      <c r="AQ111" s="83"/>
      <c r="AR111" s="83"/>
      <c r="AS111" s="83" t="s">
        <v>2744</v>
      </c>
      <c r="AT111" s="89" t="str">
        <f>HYPERLINK("https://www.youtube.com/channel/UCmujqnvEG2O_U21zf6PYnTA")</f>
        <v>https://www.youtube.com/channel/UCmujqnvEG2O_U21zf6PYnTA</v>
      </c>
      <c r="AU111" s="83" t="str">
        <f>REPLACE(INDEX(GroupVertices[Group],MATCH(Vertices[[#This Row],[Vertex]],GroupVertices[Vertex],0)),1,1,"")</f>
        <v>11</v>
      </c>
      <c r="AV111" s="45"/>
      <c r="AW111" s="46"/>
      <c r="AX111" s="45"/>
      <c r="AY111" s="46"/>
      <c r="AZ111" s="45"/>
      <c r="BA111" s="46"/>
      <c r="BB111" s="45"/>
      <c r="BC111" s="46"/>
      <c r="BD111" s="45"/>
      <c r="BE111" s="110" t="s">
        <v>1874</v>
      </c>
      <c r="BF111" s="110" t="s">
        <v>1874</v>
      </c>
      <c r="BG111" s="110" t="s">
        <v>1874</v>
      </c>
      <c r="BH111" s="110" t="s">
        <v>1874</v>
      </c>
      <c r="BI111" s="2"/>
    </row>
    <row r="112" spans="1:61" ht="15">
      <c r="A112" s="61" t="s">
        <v>326</v>
      </c>
      <c r="B112" s="62" t="s">
        <v>2893</v>
      </c>
      <c r="C112" s="62"/>
      <c r="D112" s="63">
        <v>100</v>
      </c>
      <c r="E112" s="65">
        <v>50</v>
      </c>
      <c r="F112" s="100" t="str">
        <f>HYPERLINK("https://yt3.ggpht.com/ytc/AGIKgqMxQI-jWpSSqjb3DNDIXVfNHpf1cxWpF--02g=s88-c-k-c0x00ffffff-no-rj")</f>
        <v>https://yt3.ggpht.com/ytc/AGIKgqMxQI-jWpSSqjb3DNDIXVfNHpf1cxWpF--02g=s88-c-k-c0x00ffffff-no-rj</v>
      </c>
      <c r="G112" s="62"/>
      <c r="H112" s="66" t="s">
        <v>1164</v>
      </c>
      <c r="I112" s="67"/>
      <c r="J112" s="67" t="s">
        <v>159</v>
      </c>
      <c r="K112" s="66" t="s">
        <v>1164</v>
      </c>
      <c r="L112" s="70"/>
      <c r="M112" s="71">
        <v>3646.576904296875</v>
      </c>
      <c r="N112" s="71">
        <v>1148.7613525390625</v>
      </c>
      <c r="O112" s="72"/>
      <c r="P112" s="73"/>
      <c r="Q112" s="73"/>
      <c r="R112" s="94"/>
      <c r="S112" s="45">
        <v>0</v>
      </c>
      <c r="T112" s="45">
        <v>1</v>
      </c>
      <c r="U112" s="46">
        <v>0</v>
      </c>
      <c r="V112" s="46">
        <v>0.046698</v>
      </c>
      <c r="W112" s="46">
        <v>0</v>
      </c>
      <c r="X112" s="46">
        <v>0.002058</v>
      </c>
      <c r="Y112" s="46">
        <v>0</v>
      </c>
      <c r="Z112" s="46">
        <v>0</v>
      </c>
      <c r="AA112" s="68">
        <v>112</v>
      </c>
      <c r="AB112" s="68"/>
      <c r="AC112" s="69"/>
      <c r="AD112" s="83" t="s">
        <v>1164</v>
      </c>
      <c r="AE112" s="83"/>
      <c r="AF112" s="83"/>
      <c r="AG112" s="83"/>
      <c r="AH112" s="83"/>
      <c r="AI112" s="83" t="s">
        <v>2190</v>
      </c>
      <c r="AJ112" s="83" t="s">
        <v>2573</v>
      </c>
      <c r="AK112" s="89" t="str">
        <f>HYPERLINK("https://yt3.ggpht.com/ytc/AGIKgqMxQI-jWpSSqjb3DNDIXVfNHpf1cxWpF--02g=s88-c-k-c0x00ffffff-no-rj")</f>
        <v>https://yt3.ggpht.com/ytc/AGIKgqMxQI-jWpSSqjb3DNDIXVfNHpf1cxWpF--02g=s88-c-k-c0x00ffffff-no-rj</v>
      </c>
      <c r="AL112" s="83">
        <v>0</v>
      </c>
      <c r="AM112" s="83">
        <v>0</v>
      </c>
      <c r="AN112" s="83">
        <v>0</v>
      </c>
      <c r="AO112" s="83" t="b">
        <v>0</v>
      </c>
      <c r="AP112" s="83">
        <v>0</v>
      </c>
      <c r="AQ112" s="83"/>
      <c r="AR112" s="83"/>
      <c r="AS112" s="83" t="s">
        <v>2744</v>
      </c>
      <c r="AT112" s="89" t="str">
        <f>HYPERLINK("https://www.youtube.com/channel/UCEY44ER-URmrBNbhnFG6elA")</f>
        <v>https://www.youtube.com/channel/UCEY44ER-URmrBNbhnFG6elA</v>
      </c>
      <c r="AU112" s="83" t="str">
        <f>REPLACE(INDEX(GroupVertices[Group],MATCH(Vertices[[#This Row],[Vertex]],GroupVertices[Vertex],0)),1,1,"")</f>
        <v>3</v>
      </c>
      <c r="AV112" s="45"/>
      <c r="AW112" s="46"/>
      <c r="AX112" s="45"/>
      <c r="AY112" s="46"/>
      <c r="AZ112" s="45"/>
      <c r="BA112" s="46"/>
      <c r="BB112" s="45"/>
      <c r="BC112" s="46"/>
      <c r="BD112" s="45"/>
      <c r="BE112" s="110" t="s">
        <v>1874</v>
      </c>
      <c r="BF112" s="110" t="s">
        <v>1874</v>
      </c>
      <c r="BG112" s="110" t="s">
        <v>1874</v>
      </c>
      <c r="BH112" s="110" t="s">
        <v>1874</v>
      </c>
      <c r="BI112" s="2"/>
    </row>
    <row r="113" spans="1:61" ht="15">
      <c r="A113" s="61" t="s">
        <v>327</v>
      </c>
      <c r="B113" s="62" t="s">
        <v>2893</v>
      </c>
      <c r="C113" s="62"/>
      <c r="D113" s="63">
        <v>100</v>
      </c>
      <c r="E113" s="65">
        <v>50</v>
      </c>
      <c r="F113" s="100" t="str">
        <f>HYPERLINK("https://yt3.ggpht.com/ytc/AGIKgqOnZ7vpTtyEudQh_xYjJIx8o4fh789-BV4-6N7zQA=s88-c-k-c0x00ffffff-no-rj")</f>
        <v>https://yt3.ggpht.com/ytc/AGIKgqOnZ7vpTtyEudQh_xYjJIx8o4fh789-BV4-6N7zQA=s88-c-k-c0x00ffffff-no-rj</v>
      </c>
      <c r="G113" s="62"/>
      <c r="H113" s="66" t="s">
        <v>1165</v>
      </c>
      <c r="I113" s="67"/>
      <c r="J113" s="67" t="s">
        <v>159</v>
      </c>
      <c r="K113" s="66" t="s">
        <v>1165</v>
      </c>
      <c r="L113" s="70"/>
      <c r="M113" s="71">
        <v>8935.2763671875</v>
      </c>
      <c r="N113" s="71">
        <v>519.6109619140625</v>
      </c>
      <c r="O113" s="72"/>
      <c r="P113" s="73"/>
      <c r="Q113" s="73"/>
      <c r="R113" s="94"/>
      <c r="S113" s="45">
        <v>0</v>
      </c>
      <c r="T113" s="45">
        <v>1</v>
      </c>
      <c r="U113" s="46">
        <v>0</v>
      </c>
      <c r="V113" s="46">
        <v>0.003152</v>
      </c>
      <c r="W113" s="46">
        <v>0</v>
      </c>
      <c r="X113" s="46">
        <v>0.002144</v>
      </c>
      <c r="Y113" s="46">
        <v>0</v>
      </c>
      <c r="Z113" s="46">
        <v>0</v>
      </c>
      <c r="AA113" s="68">
        <v>113</v>
      </c>
      <c r="AB113" s="68"/>
      <c r="AC113" s="69"/>
      <c r="AD113" s="83" t="s">
        <v>1165</v>
      </c>
      <c r="AE113" s="83"/>
      <c r="AF113" s="83"/>
      <c r="AG113" s="83"/>
      <c r="AH113" s="83"/>
      <c r="AI113" s="83" t="s">
        <v>2191</v>
      </c>
      <c r="AJ113" s="83" t="s">
        <v>2574</v>
      </c>
      <c r="AK113" s="89" t="str">
        <f>HYPERLINK("https://yt3.ggpht.com/ytc/AGIKgqOnZ7vpTtyEudQh_xYjJIx8o4fh789-BV4-6N7zQA=s88-c-k-c0x00ffffff-no-rj")</f>
        <v>https://yt3.ggpht.com/ytc/AGIKgqOnZ7vpTtyEudQh_xYjJIx8o4fh789-BV4-6N7zQA=s88-c-k-c0x00ffffff-no-rj</v>
      </c>
      <c r="AL113" s="83">
        <v>103</v>
      </c>
      <c r="AM113" s="83">
        <v>0</v>
      </c>
      <c r="AN113" s="83">
        <v>6</v>
      </c>
      <c r="AO113" s="83" t="b">
        <v>0</v>
      </c>
      <c r="AP113" s="83">
        <v>3</v>
      </c>
      <c r="AQ113" s="83"/>
      <c r="AR113" s="83"/>
      <c r="AS113" s="83" t="s">
        <v>2744</v>
      </c>
      <c r="AT113" s="89" t="str">
        <f>HYPERLINK("https://www.youtube.com/channel/UCRG4Q5V4apEvXyyvDNKXRLw")</f>
        <v>https://www.youtube.com/channel/UCRG4Q5V4apEvXyyvDNKXRLw</v>
      </c>
      <c r="AU113" s="83" t="str">
        <f>REPLACE(INDEX(GroupVertices[Group],MATCH(Vertices[[#This Row],[Vertex]],GroupVertices[Vertex],0)),1,1,"")</f>
        <v>17</v>
      </c>
      <c r="AV113" s="45"/>
      <c r="AW113" s="46"/>
      <c r="AX113" s="45"/>
      <c r="AY113" s="46"/>
      <c r="AZ113" s="45"/>
      <c r="BA113" s="46"/>
      <c r="BB113" s="45"/>
      <c r="BC113" s="46"/>
      <c r="BD113" s="45"/>
      <c r="BE113" s="110" t="s">
        <v>1874</v>
      </c>
      <c r="BF113" s="110" t="s">
        <v>1874</v>
      </c>
      <c r="BG113" s="110" t="s">
        <v>1874</v>
      </c>
      <c r="BH113" s="110" t="s">
        <v>1874</v>
      </c>
      <c r="BI113" s="2"/>
    </row>
    <row r="114" spans="1:61" ht="15">
      <c r="A114" s="61" t="s">
        <v>633</v>
      </c>
      <c r="B114" s="62" t="s">
        <v>2893</v>
      </c>
      <c r="C114" s="62"/>
      <c r="D114" s="63">
        <v>126.73267326732673</v>
      </c>
      <c r="E114" s="65">
        <v>68.75</v>
      </c>
      <c r="F114" s="100" t="str">
        <f>HYPERLINK("https://yt3.ggpht.com/ytc/AGIKgqPwlNEArlV8YBJHJ5beZqKINOb9G_Y86PeN9VG3=s88-c-k-c0x00ffffff-no-rj")</f>
        <v>https://yt3.ggpht.com/ytc/AGIKgqPwlNEArlV8YBJHJ5beZqKINOb9G_Y86PeN9VG3=s88-c-k-c0x00ffffff-no-rj</v>
      </c>
      <c r="G114" s="62"/>
      <c r="H114" s="66" t="s">
        <v>1448</v>
      </c>
      <c r="I114" s="67"/>
      <c r="J114" s="67" t="s">
        <v>159</v>
      </c>
      <c r="K114" s="66" t="s">
        <v>1448</v>
      </c>
      <c r="L114" s="70"/>
      <c r="M114" s="71">
        <v>8935.2763671875</v>
      </c>
      <c r="N114" s="71">
        <v>997.09130859375</v>
      </c>
      <c r="O114" s="72"/>
      <c r="P114" s="73"/>
      <c r="Q114" s="73"/>
      <c r="R114" s="94"/>
      <c r="S114" s="45">
        <v>3</v>
      </c>
      <c r="T114" s="45">
        <v>1</v>
      </c>
      <c r="U114" s="46">
        <v>2</v>
      </c>
      <c r="V114" s="46">
        <v>0.004728</v>
      </c>
      <c r="W114" s="46">
        <v>0</v>
      </c>
      <c r="X114" s="46">
        <v>0.002787</v>
      </c>
      <c r="Y114" s="46">
        <v>0</v>
      </c>
      <c r="Z114" s="46">
        <v>0</v>
      </c>
      <c r="AA114" s="68">
        <v>114</v>
      </c>
      <c r="AB114" s="68"/>
      <c r="AC114" s="69"/>
      <c r="AD114" s="83" t="s">
        <v>1448</v>
      </c>
      <c r="AE114" s="83" t="s">
        <v>1965</v>
      </c>
      <c r="AF114" s="83"/>
      <c r="AG114" s="83"/>
      <c r="AH114" s="83"/>
      <c r="AI114" s="83" t="s">
        <v>2192</v>
      </c>
      <c r="AJ114" s="92">
        <v>43625.98662037037</v>
      </c>
      <c r="AK114" s="89" t="str">
        <f>HYPERLINK("https://yt3.ggpht.com/ytc/AGIKgqPwlNEArlV8YBJHJ5beZqKINOb9G_Y86PeN9VG3=s88-c-k-c0x00ffffff-no-rj")</f>
        <v>https://yt3.ggpht.com/ytc/AGIKgqPwlNEArlV8YBJHJ5beZqKINOb9G_Y86PeN9VG3=s88-c-k-c0x00ffffff-no-rj</v>
      </c>
      <c r="AL114" s="83">
        <v>1610</v>
      </c>
      <c r="AM114" s="83">
        <v>0</v>
      </c>
      <c r="AN114" s="83">
        <v>17</v>
      </c>
      <c r="AO114" s="83" t="b">
        <v>0</v>
      </c>
      <c r="AP114" s="83">
        <v>8</v>
      </c>
      <c r="AQ114" s="83"/>
      <c r="AR114" s="83"/>
      <c r="AS114" s="83" t="s">
        <v>2744</v>
      </c>
      <c r="AT114" s="89" t="str">
        <f>HYPERLINK("https://www.youtube.com/channel/UCunj_6U81_ZQF6f8d5WI_lg")</f>
        <v>https://www.youtube.com/channel/UCunj_6U81_ZQF6f8d5WI_lg</v>
      </c>
      <c r="AU114" s="83" t="str">
        <f>REPLACE(INDEX(GroupVertices[Group],MATCH(Vertices[[#This Row],[Vertex]],GroupVertices[Vertex],0)),1,1,"")</f>
        <v>17</v>
      </c>
      <c r="AV114" s="45"/>
      <c r="AW114" s="46"/>
      <c r="AX114" s="45"/>
      <c r="AY114" s="46"/>
      <c r="AZ114" s="45"/>
      <c r="BA114" s="46"/>
      <c r="BB114" s="45"/>
      <c r="BC114" s="46"/>
      <c r="BD114" s="45"/>
      <c r="BE114" s="110" t="s">
        <v>1874</v>
      </c>
      <c r="BF114" s="110" t="s">
        <v>1874</v>
      </c>
      <c r="BG114" s="110" t="s">
        <v>1874</v>
      </c>
      <c r="BH114" s="110" t="s">
        <v>1874</v>
      </c>
      <c r="BI114" s="2"/>
    </row>
    <row r="115" spans="1:61" ht="15">
      <c r="A115" s="61" t="s">
        <v>328</v>
      </c>
      <c r="B115" s="62" t="s">
        <v>2893</v>
      </c>
      <c r="C115" s="62"/>
      <c r="D115" s="63">
        <v>100</v>
      </c>
      <c r="E115" s="65">
        <v>50</v>
      </c>
      <c r="F115" s="100" t="str">
        <f>HYPERLINK("https://yt3.ggpht.com/ytc/AGIKgqPAoOm7QENDBo2Qu6I1Fo02M1zVot5iaw8saUzJ=s88-c-k-c0x00ffffff-no-rj")</f>
        <v>https://yt3.ggpht.com/ytc/AGIKgqPAoOm7QENDBo2Qu6I1Fo02M1zVot5iaw8saUzJ=s88-c-k-c0x00ffffff-no-rj</v>
      </c>
      <c r="G115" s="62"/>
      <c r="H115" s="66" t="s">
        <v>1166</v>
      </c>
      <c r="I115" s="67"/>
      <c r="J115" s="67" t="s">
        <v>159</v>
      </c>
      <c r="K115" s="66" t="s">
        <v>1166</v>
      </c>
      <c r="L115" s="70"/>
      <c r="M115" s="71">
        <v>8935.2763671875</v>
      </c>
      <c r="N115" s="71">
        <v>1474.5716552734375</v>
      </c>
      <c r="O115" s="72"/>
      <c r="P115" s="73"/>
      <c r="Q115" s="73"/>
      <c r="R115" s="94"/>
      <c r="S115" s="45">
        <v>0</v>
      </c>
      <c r="T115" s="45">
        <v>1</v>
      </c>
      <c r="U115" s="46">
        <v>0</v>
      </c>
      <c r="V115" s="46">
        <v>0.003152</v>
      </c>
      <c r="W115" s="46">
        <v>0</v>
      </c>
      <c r="X115" s="46">
        <v>0.002144</v>
      </c>
      <c r="Y115" s="46">
        <v>0</v>
      </c>
      <c r="Z115" s="46">
        <v>0</v>
      </c>
      <c r="AA115" s="68">
        <v>115</v>
      </c>
      <c r="AB115" s="68"/>
      <c r="AC115" s="69"/>
      <c r="AD115" s="83" t="s">
        <v>1166</v>
      </c>
      <c r="AE115" s="83"/>
      <c r="AF115" s="83"/>
      <c r="AG115" s="83"/>
      <c r="AH115" s="83"/>
      <c r="AI115" s="83" t="s">
        <v>2193</v>
      </c>
      <c r="AJ115" s="92">
        <v>43559.12053240741</v>
      </c>
      <c r="AK115" s="89" t="str">
        <f>HYPERLINK("https://yt3.ggpht.com/ytc/AGIKgqPAoOm7QENDBo2Qu6I1Fo02M1zVot5iaw8saUzJ=s88-c-k-c0x00ffffff-no-rj")</f>
        <v>https://yt3.ggpht.com/ytc/AGIKgqPAoOm7QENDBo2Qu6I1Fo02M1zVot5iaw8saUzJ=s88-c-k-c0x00ffffff-no-rj</v>
      </c>
      <c r="AL115" s="83">
        <v>0</v>
      </c>
      <c r="AM115" s="83">
        <v>0</v>
      </c>
      <c r="AN115" s="83">
        <v>28</v>
      </c>
      <c r="AO115" s="83" t="b">
        <v>0</v>
      </c>
      <c r="AP115" s="83">
        <v>0</v>
      </c>
      <c r="AQ115" s="83"/>
      <c r="AR115" s="83"/>
      <c r="AS115" s="83" t="s">
        <v>2744</v>
      </c>
      <c r="AT115" s="89" t="str">
        <f>HYPERLINK("https://www.youtube.com/channel/UCr_PxAeXEoLiQejFpVmky3Q")</f>
        <v>https://www.youtube.com/channel/UCr_PxAeXEoLiQejFpVmky3Q</v>
      </c>
      <c r="AU115" s="83" t="str">
        <f>REPLACE(INDEX(GroupVertices[Group],MATCH(Vertices[[#This Row],[Vertex]],GroupVertices[Vertex],0)),1,1,"")</f>
        <v>17</v>
      </c>
      <c r="AV115" s="45"/>
      <c r="AW115" s="46"/>
      <c r="AX115" s="45"/>
      <c r="AY115" s="46"/>
      <c r="AZ115" s="45"/>
      <c r="BA115" s="46"/>
      <c r="BB115" s="45"/>
      <c r="BC115" s="46"/>
      <c r="BD115" s="45"/>
      <c r="BE115" s="110" t="s">
        <v>1874</v>
      </c>
      <c r="BF115" s="110" t="s">
        <v>1874</v>
      </c>
      <c r="BG115" s="110" t="s">
        <v>1874</v>
      </c>
      <c r="BH115" s="110" t="s">
        <v>1874</v>
      </c>
      <c r="BI115" s="2"/>
    </row>
    <row r="116" spans="1:61" ht="15">
      <c r="A116" s="61" t="s">
        <v>329</v>
      </c>
      <c r="B116" s="62" t="s">
        <v>2893</v>
      </c>
      <c r="C116" s="62"/>
      <c r="D116" s="63">
        <v>100</v>
      </c>
      <c r="E116" s="65">
        <v>50</v>
      </c>
      <c r="F116" s="100" t="str">
        <f>HYPERLINK("https://yt3.ggpht.com/-Iu83OCkD68rb2LWeR7nwXqMM397wyc4cnqz-4MAZR42nFFUM4IPgkFAbvVX1xulw_Js5zRj=s88-c-k-c0x00ffffff-no-rj")</f>
        <v>https://yt3.ggpht.com/-Iu83OCkD68rb2LWeR7nwXqMM397wyc4cnqz-4MAZR42nFFUM4IPgkFAbvVX1xulw_Js5zRj=s88-c-k-c0x00ffffff-no-rj</v>
      </c>
      <c r="G116" s="62"/>
      <c r="H116" s="66" t="s">
        <v>1167</v>
      </c>
      <c r="I116" s="67"/>
      <c r="J116" s="67" t="s">
        <v>159</v>
      </c>
      <c r="K116" s="66" t="s">
        <v>1167</v>
      </c>
      <c r="L116" s="70"/>
      <c r="M116" s="71">
        <v>9733.0693359375</v>
      </c>
      <c r="N116" s="71">
        <v>1060.2872314453125</v>
      </c>
      <c r="O116" s="72"/>
      <c r="P116" s="73"/>
      <c r="Q116" s="73"/>
      <c r="R116" s="94"/>
      <c r="S116" s="45">
        <v>0</v>
      </c>
      <c r="T116" s="45">
        <v>1</v>
      </c>
      <c r="U116" s="46">
        <v>0</v>
      </c>
      <c r="V116" s="46">
        <v>0.002364</v>
      </c>
      <c r="W116" s="46">
        <v>0</v>
      </c>
      <c r="X116" s="46">
        <v>0.002194</v>
      </c>
      <c r="Y116" s="46">
        <v>0</v>
      </c>
      <c r="Z116" s="46">
        <v>0</v>
      </c>
      <c r="AA116" s="68">
        <v>116</v>
      </c>
      <c r="AB116" s="68"/>
      <c r="AC116" s="69"/>
      <c r="AD116" s="83" t="s">
        <v>1167</v>
      </c>
      <c r="AE116" s="83" t="s">
        <v>1966</v>
      </c>
      <c r="AF116" s="83"/>
      <c r="AG116" s="83"/>
      <c r="AH116" s="83"/>
      <c r="AI116" s="83" t="s">
        <v>2194</v>
      </c>
      <c r="AJ116" s="92">
        <v>39783.69130787037</v>
      </c>
      <c r="AK116" s="89" t="str">
        <f>HYPERLINK("https://yt3.ggpht.com/-Iu83OCkD68rb2LWeR7nwXqMM397wyc4cnqz-4MAZR42nFFUM4IPgkFAbvVX1xulw_Js5zRj=s88-c-k-c0x00ffffff-no-rj")</f>
        <v>https://yt3.ggpht.com/-Iu83OCkD68rb2LWeR7nwXqMM397wyc4cnqz-4MAZR42nFFUM4IPgkFAbvVX1xulw_Js5zRj=s88-c-k-c0x00ffffff-no-rj</v>
      </c>
      <c r="AL116" s="83">
        <v>945939</v>
      </c>
      <c r="AM116" s="83">
        <v>0</v>
      </c>
      <c r="AN116" s="83">
        <v>2240</v>
      </c>
      <c r="AO116" s="83" t="b">
        <v>0</v>
      </c>
      <c r="AP116" s="83">
        <v>275</v>
      </c>
      <c r="AQ116" s="83"/>
      <c r="AR116" s="83"/>
      <c r="AS116" s="83" t="s">
        <v>2744</v>
      </c>
      <c r="AT116" s="89" t="str">
        <f>HYPERLINK("https://www.youtube.com/channel/UCUnSTNtMoVuB-870zPeM-Gg")</f>
        <v>https://www.youtube.com/channel/UCUnSTNtMoVuB-870zPeM-Gg</v>
      </c>
      <c r="AU116" s="83" t="str">
        <f>REPLACE(INDEX(GroupVertices[Group],MATCH(Vertices[[#This Row],[Vertex]],GroupVertices[Vertex],0)),1,1,"")</f>
        <v>21</v>
      </c>
      <c r="AV116" s="45"/>
      <c r="AW116" s="46"/>
      <c r="AX116" s="45"/>
      <c r="AY116" s="46"/>
      <c r="AZ116" s="45"/>
      <c r="BA116" s="46"/>
      <c r="BB116" s="45"/>
      <c r="BC116" s="46"/>
      <c r="BD116" s="45"/>
      <c r="BE116" s="110" t="s">
        <v>1874</v>
      </c>
      <c r="BF116" s="110" t="s">
        <v>1874</v>
      </c>
      <c r="BG116" s="110" t="s">
        <v>1874</v>
      </c>
      <c r="BH116" s="110" t="s">
        <v>1874</v>
      </c>
      <c r="BI116" s="2"/>
    </row>
    <row r="117" spans="1:61" ht="15">
      <c r="A117" s="61" t="s">
        <v>634</v>
      </c>
      <c r="B117" s="62" t="s">
        <v>2893</v>
      </c>
      <c r="C117" s="62"/>
      <c r="D117" s="63">
        <v>117.82178217821783</v>
      </c>
      <c r="E117" s="65">
        <v>62.5</v>
      </c>
      <c r="F117" s="100" t="str">
        <f>HYPERLINK("https://yt3.ggpht.com/ytc/AGIKgqNzfGG9KhMVFMz2hceRVEorp_SFp8EcBJ2MwubYGA8=s88-c-k-c0x00ffffff-no-rj")</f>
        <v>https://yt3.ggpht.com/ytc/AGIKgqNzfGG9KhMVFMz2hceRVEorp_SFp8EcBJ2MwubYGA8=s88-c-k-c0x00ffffff-no-rj</v>
      </c>
      <c r="G117" s="62"/>
      <c r="H117" s="66" t="s">
        <v>1896</v>
      </c>
      <c r="I117" s="67"/>
      <c r="J117" s="67" t="s">
        <v>159</v>
      </c>
      <c r="K117" s="66" t="s">
        <v>1896</v>
      </c>
      <c r="L117" s="70"/>
      <c r="M117" s="71">
        <v>9733.0693359375</v>
      </c>
      <c r="N117" s="71">
        <v>1495.636962890625</v>
      </c>
      <c r="O117" s="72"/>
      <c r="P117" s="73"/>
      <c r="Q117" s="73"/>
      <c r="R117" s="94"/>
      <c r="S117" s="45">
        <v>2</v>
      </c>
      <c r="T117" s="45">
        <v>1</v>
      </c>
      <c r="U117" s="46">
        <v>0</v>
      </c>
      <c r="V117" s="46">
        <v>0.002364</v>
      </c>
      <c r="W117" s="46">
        <v>0</v>
      </c>
      <c r="X117" s="46">
        <v>0.002523</v>
      </c>
      <c r="Y117" s="46">
        <v>0</v>
      </c>
      <c r="Z117" s="46">
        <v>0</v>
      </c>
      <c r="AA117" s="68">
        <v>117</v>
      </c>
      <c r="AB117" s="68"/>
      <c r="AC117" s="69"/>
      <c r="AD117" s="83" t="s">
        <v>1896</v>
      </c>
      <c r="AE117" s="83" t="s">
        <v>1967</v>
      </c>
      <c r="AF117" s="83"/>
      <c r="AG117" s="83"/>
      <c r="AH117" s="83"/>
      <c r="AI117" s="83" t="s">
        <v>2195</v>
      </c>
      <c r="AJ117" s="92">
        <v>41338.8037962963</v>
      </c>
      <c r="AK117" s="89" t="str">
        <f>HYPERLINK("https://yt3.ggpht.com/ytc/AGIKgqNzfGG9KhMVFMz2hceRVEorp_SFp8EcBJ2MwubYGA8=s88-c-k-c0x00ffffff-no-rj")</f>
        <v>https://yt3.ggpht.com/ytc/AGIKgqNzfGG9KhMVFMz2hceRVEorp_SFp8EcBJ2MwubYGA8=s88-c-k-c0x00ffffff-no-rj</v>
      </c>
      <c r="AL117" s="83">
        <v>19219</v>
      </c>
      <c r="AM117" s="83">
        <v>0</v>
      </c>
      <c r="AN117" s="83">
        <v>118</v>
      </c>
      <c r="AO117" s="83" t="b">
        <v>0</v>
      </c>
      <c r="AP117" s="83">
        <v>15</v>
      </c>
      <c r="AQ117" s="83"/>
      <c r="AR117" s="83"/>
      <c r="AS117" s="83" t="s">
        <v>2744</v>
      </c>
      <c r="AT117" s="89" t="str">
        <f>HYPERLINK("https://www.youtube.com/channel/UCL8pATckASVpO0OBrLDY1Aw")</f>
        <v>https://www.youtube.com/channel/UCL8pATckASVpO0OBrLDY1Aw</v>
      </c>
      <c r="AU117" s="83" t="str">
        <f>REPLACE(INDEX(GroupVertices[Group],MATCH(Vertices[[#This Row],[Vertex]],GroupVertices[Vertex],0)),1,1,"")</f>
        <v>21</v>
      </c>
      <c r="AV117" s="45"/>
      <c r="AW117" s="46"/>
      <c r="AX117" s="45"/>
      <c r="AY117" s="46"/>
      <c r="AZ117" s="45"/>
      <c r="BA117" s="46"/>
      <c r="BB117" s="45"/>
      <c r="BC117" s="46"/>
      <c r="BD117" s="45"/>
      <c r="BE117" s="110" t="s">
        <v>1874</v>
      </c>
      <c r="BF117" s="110" t="s">
        <v>1874</v>
      </c>
      <c r="BG117" s="110" t="s">
        <v>1874</v>
      </c>
      <c r="BH117" s="110" t="s">
        <v>1874</v>
      </c>
      <c r="BI117" s="2"/>
    </row>
    <row r="118" spans="1:61" ht="15">
      <c r="A118" s="61" t="s">
        <v>330</v>
      </c>
      <c r="B118" s="62" t="s">
        <v>2893</v>
      </c>
      <c r="C118" s="62"/>
      <c r="D118" s="63">
        <v>100</v>
      </c>
      <c r="E118" s="65">
        <v>50</v>
      </c>
      <c r="F118" s="100" t="str">
        <f>HYPERLINK("https://yt3.ggpht.com/ytc/AGIKgqOLMquXL5u4YR-EfF_PZtqUrzwT8DB6MhaxlZfBBA=s88-c-k-c0x00ffffff-no-rj")</f>
        <v>https://yt3.ggpht.com/ytc/AGIKgqOLMquXL5u4YR-EfF_PZtqUrzwT8DB6MhaxlZfBBA=s88-c-k-c0x00ffffff-no-rj</v>
      </c>
      <c r="G118" s="62"/>
      <c r="H118" s="66" t="s">
        <v>1168</v>
      </c>
      <c r="I118" s="67"/>
      <c r="J118" s="67" t="s">
        <v>159</v>
      </c>
      <c r="K118" s="66" t="s">
        <v>1168</v>
      </c>
      <c r="L118" s="70"/>
      <c r="M118" s="71">
        <v>7180.1328125</v>
      </c>
      <c r="N118" s="71">
        <v>2457.619384765625</v>
      </c>
      <c r="O118" s="72"/>
      <c r="P118" s="73"/>
      <c r="Q118" s="73"/>
      <c r="R118" s="94"/>
      <c r="S118" s="45">
        <v>0</v>
      </c>
      <c r="T118" s="45">
        <v>1</v>
      </c>
      <c r="U118" s="46">
        <v>0</v>
      </c>
      <c r="V118" s="46">
        <v>0.015981</v>
      </c>
      <c r="W118" s="46">
        <v>0</v>
      </c>
      <c r="X118" s="46">
        <v>0.00207</v>
      </c>
      <c r="Y118" s="46">
        <v>0</v>
      </c>
      <c r="Z118" s="46">
        <v>0</v>
      </c>
      <c r="AA118" s="68">
        <v>118</v>
      </c>
      <c r="AB118" s="68"/>
      <c r="AC118" s="69"/>
      <c r="AD118" s="83" t="s">
        <v>1168</v>
      </c>
      <c r="AE118" s="83"/>
      <c r="AF118" s="83"/>
      <c r="AG118" s="83"/>
      <c r="AH118" s="83"/>
      <c r="AI118" s="83" t="s">
        <v>2196</v>
      </c>
      <c r="AJ118" s="83" t="s">
        <v>2575</v>
      </c>
      <c r="AK118" s="89" t="str">
        <f>HYPERLINK("https://yt3.ggpht.com/ytc/AGIKgqOLMquXL5u4YR-EfF_PZtqUrzwT8DB6MhaxlZfBBA=s88-c-k-c0x00ffffff-no-rj")</f>
        <v>https://yt3.ggpht.com/ytc/AGIKgqOLMquXL5u4YR-EfF_PZtqUrzwT8DB6MhaxlZfBBA=s88-c-k-c0x00ffffff-no-rj</v>
      </c>
      <c r="AL118" s="83">
        <v>0</v>
      </c>
      <c r="AM118" s="83">
        <v>0</v>
      </c>
      <c r="AN118" s="83">
        <v>0</v>
      </c>
      <c r="AO118" s="83" t="b">
        <v>0</v>
      </c>
      <c r="AP118" s="83">
        <v>0</v>
      </c>
      <c r="AQ118" s="83"/>
      <c r="AR118" s="83"/>
      <c r="AS118" s="83" t="s">
        <v>2744</v>
      </c>
      <c r="AT118" s="89" t="str">
        <f>HYPERLINK("https://www.youtube.com/channel/UCQtnLw3C-0E5goSfg3f3mRQ")</f>
        <v>https://www.youtube.com/channel/UCQtnLw3C-0E5goSfg3f3mRQ</v>
      </c>
      <c r="AU118" s="83" t="str">
        <f>REPLACE(INDEX(GroupVertices[Group],MATCH(Vertices[[#This Row],[Vertex]],GroupVertices[Vertex],0)),1,1,"")</f>
        <v>11</v>
      </c>
      <c r="AV118" s="45"/>
      <c r="AW118" s="46"/>
      <c r="AX118" s="45"/>
      <c r="AY118" s="46"/>
      <c r="AZ118" s="45"/>
      <c r="BA118" s="46"/>
      <c r="BB118" s="45"/>
      <c r="BC118" s="46"/>
      <c r="BD118" s="45"/>
      <c r="BE118" s="110" t="s">
        <v>1874</v>
      </c>
      <c r="BF118" s="110" t="s">
        <v>1874</v>
      </c>
      <c r="BG118" s="110" t="s">
        <v>1874</v>
      </c>
      <c r="BH118" s="110" t="s">
        <v>1874</v>
      </c>
      <c r="BI118" s="2"/>
    </row>
    <row r="119" spans="1:61" ht="15">
      <c r="A119" s="61" t="s">
        <v>331</v>
      </c>
      <c r="B119" s="62" t="s">
        <v>2893</v>
      </c>
      <c r="C119" s="62"/>
      <c r="D119" s="63">
        <v>100</v>
      </c>
      <c r="E119" s="65">
        <v>50</v>
      </c>
      <c r="F119" s="100" t="str">
        <f>HYPERLINK("https://yt3.ggpht.com/ytc/AGIKgqPotWJK7u96In2cLYGz5uljMsxkiCo6imheAw=s88-c-k-c0x00ffffff-no-rj")</f>
        <v>https://yt3.ggpht.com/ytc/AGIKgqPotWJK7u96In2cLYGz5uljMsxkiCo6imheAw=s88-c-k-c0x00ffffff-no-rj</v>
      </c>
      <c r="G119" s="62"/>
      <c r="H119" s="66" t="s">
        <v>1169</v>
      </c>
      <c r="I119" s="67"/>
      <c r="J119" s="67" t="s">
        <v>159</v>
      </c>
      <c r="K119" s="66" t="s">
        <v>1169</v>
      </c>
      <c r="L119" s="70"/>
      <c r="M119" s="71">
        <v>7977.92529296875</v>
      </c>
      <c r="N119" s="71">
        <v>3047.447998046875</v>
      </c>
      <c r="O119" s="72"/>
      <c r="P119" s="73"/>
      <c r="Q119" s="73"/>
      <c r="R119" s="94"/>
      <c r="S119" s="45">
        <v>0</v>
      </c>
      <c r="T119" s="45">
        <v>1</v>
      </c>
      <c r="U119" s="46">
        <v>0</v>
      </c>
      <c r="V119" s="46">
        <v>0.015981</v>
      </c>
      <c r="W119" s="46">
        <v>0</v>
      </c>
      <c r="X119" s="46">
        <v>0.00207</v>
      </c>
      <c r="Y119" s="46">
        <v>0</v>
      </c>
      <c r="Z119" s="46">
        <v>0</v>
      </c>
      <c r="AA119" s="68">
        <v>119</v>
      </c>
      <c r="AB119" s="68"/>
      <c r="AC119" s="69"/>
      <c r="AD119" s="83" t="s">
        <v>1169</v>
      </c>
      <c r="AE119" s="83"/>
      <c r="AF119" s="83"/>
      <c r="AG119" s="83"/>
      <c r="AH119" s="83"/>
      <c r="AI119" s="83" t="s">
        <v>2197</v>
      </c>
      <c r="AJ119" s="92">
        <v>38814.30118055556</v>
      </c>
      <c r="AK119" s="89" t="str">
        <f>HYPERLINK("https://yt3.ggpht.com/ytc/AGIKgqPotWJK7u96In2cLYGz5uljMsxkiCo6imheAw=s88-c-k-c0x00ffffff-no-rj")</f>
        <v>https://yt3.ggpht.com/ytc/AGIKgqPotWJK7u96In2cLYGz5uljMsxkiCo6imheAw=s88-c-k-c0x00ffffff-no-rj</v>
      </c>
      <c r="AL119" s="83">
        <v>7725</v>
      </c>
      <c r="AM119" s="83">
        <v>0</v>
      </c>
      <c r="AN119" s="83">
        <v>21</v>
      </c>
      <c r="AO119" s="83" t="b">
        <v>0</v>
      </c>
      <c r="AP119" s="83">
        <v>1</v>
      </c>
      <c r="AQ119" s="83"/>
      <c r="AR119" s="83"/>
      <c r="AS119" s="83" t="s">
        <v>2744</v>
      </c>
      <c r="AT119" s="89" t="str">
        <f>HYPERLINK("https://www.youtube.com/channel/UCZO94MPPG9gbwh5a96W11RQ")</f>
        <v>https://www.youtube.com/channel/UCZO94MPPG9gbwh5a96W11RQ</v>
      </c>
      <c r="AU119" s="83" t="str">
        <f>REPLACE(INDEX(GroupVertices[Group],MATCH(Vertices[[#This Row],[Vertex]],GroupVertices[Vertex],0)),1,1,"")</f>
        <v>11</v>
      </c>
      <c r="AV119" s="45"/>
      <c r="AW119" s="46"/>
      <c r="AX119" s="45"/>
      <c r="AY119" s="46"/>
      <c r="AZ119" s="45"/>
      <c r="BA119" s="46"/>
      <c r="BB119" s="45"/>
      <c r="BC119" s="46"/>
      <c r="BD119" s="45"/>
      <c r="BE119" s="110" t="s">
        <v>1874</v>
      </c>
      <c r="BF119" s="110" t="s">
        <v>1874</v>
      </c>
      <c r="BG119" s="110" t="s">
        <v>1874</v>
      </c>
      <c r="BH119" s="110" t="s">
        <v>1874</v>
      </c>
      <c r="BI119" s="2"/>
    </row>
    <row r="120" spans="1:61" ht="15">
      <c r="A120" s="61" t="s">
        <v>332</v>
      </c>
      <c r="B120" s="62" t="s">
        <v>2893</v>
      </c>
      <c r="C120" s="62"/>
      <c r="D120" s="63">
        <v>100</v>
      </c>
      <c r="E120" s="65">
        <v>50</v>
      </c>
      <c r="F120" s="100" t="str">
        <f>HYPERLINK("https://yt3.ggpht.com/ytc/AGIKgqOCPkdqtopwtGsObJ34djfCIszP1nx-o3vaqCH8yA=s88-c-k-c0x00ffffff-no-rj")</f>
        <v>https://yt3.ggpht.com/ytc/AGIKgqOCPkdqtopwtGsObJ34djfCIszP1nx-o3vaqCH8yA=s88-c-k-c0x00ffffff-no-rj</v>
      </c>
      <c r="G120" s="62"/>
      <c r="H120" s="66" t="s">
        <v>1170</v>
      </c>
      <c r="I120" s="67"/>
      <c r="J120" s="67" t="s">
        <v>159</v>
      </c>
      <c r="K120" s="66" t="s">
        <v>1170</v>
      </c>
      <c r="L120" s="70"/>
      <c r="M120" s="71">
        <v>7711.99462890625</v>
      </c>
      <c r="N120" s="71">
        <v>3047.447998046875</v>
      </c>
      <c r="O120" s="72"/>
      <c r="P120" s="73"/>
      <c r="Q120" s="73"/>
      <c r="R120" s="94"/>
      <c r="S120" s="45">
        <v>0</v>
      </c>
      <c r="T120" s="45">
        <v>1</v>
      </c>
      <c r="U120" s="46">
        <v>0</v>
      </c>
      <c r="V120" s="46">
        <v>0.015981</v>
      </c>
      <c r="W120" s="46">
        <v>0</v>
      </c>
      <c r="X120" s="46">
        <v>0.00207</v>
      </c>
      <c r="Y120" s="46">
        <v>0</v>
      </c>
      <c r="Z120" s="46">
        <v>0</v>
      </c>
      <c r="AA120" s="68">
        <v>120</v>
      </c>
      <c r="AB120" s="68"/>
      <c r="AC120" s="69"/>
      <c r="AD120" s="83" t="s">
        <v>1170</v>
      </c>
      <c r="AE120" s="83"/>
      <c r="AF120" s="83"/>
      <c r="AG120" s="83"/>
      <c r="AH120" s="83"/>
      <c r="AI120" s="83" t="s">
        <v>2198</v>
      </c>
      <c r="AJ120" s="92">
        <v>41916.6316087963</v>
      </c>
      <c r="AK120" s="89" t="str">
        <f>HYPERLINK("https://yt3.ggpht.com/ytc/AGIKgqOCPkdqtopwtGsObJ34djfCIszP1nx-o3vaqCH8yA=s88-c-k-c0x00ffffff-no-rj")</f>
        <v>https://yt3.ggpht.com/ytc/AGIKgqOCPkdqtopwtGsObJ34djfCIszP1nx-o3vaqCH8yA=s88-c-k-c0x00ffffff-no-rj</v>
      </c>
      <c r="AL120" s="83">
        <v>0</v>
      </c>
      <c r="AM120" s="83">
        <v>0</v>
      </c>
      <c r="AN120" s="83">
        <v>4</v>
      </c>
      <c r="AO120" s="83" t="b">
        <v>0</v>
      </c>
      <c r="AP120" s="83">
        <v>0</v>
      </c>
      <c r="AQ120" s="83"/>
      <c r="AR120" s="83"/>
      <c r="AS120" s="83" t="s">
        <v>2744</v>
      </c>
      <c r="AT120" s="89" t="str">
        <f>HYPERLINK("https://www.youtube.com/channel/UCvzFttdOsBMBgmqLG_hWx1g")</f>
        <v>https://www.youtube.com/channel/UCvzFttdOsBMBgmqLG_hWx1g</v>
      </c>
      <c r="AU120" s="83" t="str">
        <f>REPLACE(INDEX(GroupVertices[Group],MATCH(Vertices[[#This Row],[Vertex]],GroupVertices[Vertex],0)),1,1,"")</f>
        <v>11</v>
      </c>
      <c r="AV120" s="45"/>
      <c r="AW120" s="46"/>
      <c r="AX120" s="45"/>
      <c r="AY120" s="46"/>
      <c r="AZ120" s="45"/>
      <c r="BA120" s="46"/>
      <c r="BB120" s="45"/>
      <c r="BC120" s="46"/>
      <c r="BD120" s="45"/>
      <c r="BE120" s="110" t="s">
        <v>1874</v>
      </c>
      <c r="BF120" s="110" t="s">
        <v>1874</v>
      </c>
      <c r="BG120" s="110" t="s">
        <v>1874</v>
      </c>
      <c r="BH120" s="110" t="s">
        <v>1874</v>
      </c>
      <c r="BI120" s="2"/>
    </row>
    <row r="121" spans="1:61" ht="15">
      <c r="A121" s="61" t="s">
        <v>333</v>
      </c>
      <c r="B121" s="62" t="s">
        <v>2893</v>
      </c>
      <c r="C121" s="62"/>
      <c r="D121" s="63">
        <v>100</v>
      </c>
      <c r="E121" s="65">
        <v>50</v>
      </c>
      <c r="F121" s="100" t="str">
        <f>HYPERLINK("https://yt3.ggpht.com/ytc/AGIKgqNW8y8yqKYz0Og42jYPVYno3yDyXHvHeZ97SjwjMg=s88-c-k-c0x00ffffff-no-rj")</f>
        <v>https://yt3.ggpht.com/ytc/AGIKgqNW8y8yqKYz0Og42jYPVYno3yDyXHvHeZ97SjwjMg=s88-c-k-c0x00ffffff-no-rj</v>
      </c>
      <c r="G121" s="62"/>
      <c r="H121" s="66" t="s">
        <v>1171</v>
      </c>
      <c r="I121" s="67"/>
      <c r="J121" s="67" t="s">
        <v>159</v>
      </c>
      <c r="K121" s="66" t="s">
        <v>1171</v>
      </c>
      <c r="L121" s="70"/>
      <c r="M121" s="71">
        <v>7446.06396484375</v>
      </c>
      <c r="N121" s="71">
        <v>3047.447998046875</v>
      </c>
      <c r="O121" s="72"/>
      <c r="P121" s="73"/>
      <c r="Q121" s="73"/>
      <c r="R121" s="94"/>
      <c r="S121" s="45">
        <v>0</v>
      </c>
      <c r="T121" s="45">
        <v>1</v>
      </c>
      <c r="U121" s="46">
        <v>0</v>
      </c>
      <c r="V121" s="46">
        <v>0.015981</v>
      </c>
      <c r="W121" s="46">
        <v>0</v>
      </c>
      <c r="X121" s="46">
        <v>0.00207</v>
      </c>
      <c r="Y121" s="46">
        <v>0</v>
      </c>
      <c r="Z121" s="46">
        <v>0</v>
      </c>
      <c r="AA121" s="68">
        <v>121</v>
      </c>
      <c r="AB121" s="68"/>
      <c r="AC121" s="69"/>
      <c r="AD121" s="83" t="s">
        <v>1171</v>
      </c>
      <c r="AE121" s="83"/>
      <c r="AF121" s="83"/>
      <c r="AG121" s="83"/>
      <c r="AH121" s="83"/>
      <c r="AI121" s="83" t="s">
        <v>2199</v>
      </c>
      <c r="AJ121" s="92">
        <v>38811.715902777774</v>
      </c>
      <c r="AK121" s="89" t="str">
        <f>HYPERLINK("https://yt3.ggpht.com/ytc/AGIKgqNW8y8yqKYz0Og42jYPVYno3yDyXHvHeZ97SjwjMg=s88-c-k-c0x00ffffff-no-rj")</f>
        <v>https://yt3.ggpht.com/ytc/AGIKgqNW8y8yqKYz0Og42jYPVYno3yDyXHvHeZ97SjwjMg=s88-c-k-c0x00ffffff-no-rj</v>
      </c>
      <c r="AL121" s="83">
        <v>72</v>
      </c>
      <c r="AM121" s="83">
        <v>0</v>
      </c>
      <c r="AN121" s="83">
        <v>6</v>
      </c>
      <c r="AO121" s="83" t="b">
        <v>0</v>
      </c>
      <c r="AP121" s="83">
        <v>1</v>
      </c>
      <c r="AQ121" s="83"/>
      <c r="AR121" s="83"/>
      <c r="AS121" s="83" t="s">
        <v>2744</v>
      </c>
      <c r="AT121" s="89" t="str">
        <f>HYPERLINK("https://www.youtube.com/channel/UC9_LBTcU2WReH0oYTSIBSag")</f>
        <v>https://www.youtube.com/channel/UC9_LBTcU2WReH0oYTSIBSag</v>
      </c>
      <c r="AU121" s="83" t="str">
        <f>REPLACE(INDEX(GroupVertices[Group],MATCH(Vertices[[#This Row],[Vertex]],GroupVertices[Vertex],0)),1,1,"")</f>
        <v>11</v>
      </c>
      <c r="AV121" s="45"/>
      <c r="AW121" s="46"/>
      <c r="AX121" s="45"/>
      <c r="AY121" s="46"/>
      <c r="AZ121" s="45"/>
      <c r="BA121" s="46"/>
      <c r="BB121" s="45"/>
      <c r="BC121" s="46"/>
      <c r="BD121" s="45"/>
      <c r="BE121" s="110" t="s">
        <v>1874</v>
      </c>
      <c r="BF121" s="110" t="s">
        <v>1874</v>
      </c>
      <c r="BG121" s="110" t="s">
        <v>1874</v>
      </c>
      <c r="BH121" s="110" t="s">
        <v>1874</v>
      </c>
      <c r="BI121" s="2"/>
    </row>
    <row r="122" spans="1:61" ht="15">
      <c r="A122" s="61" t="s">
        <v>334</v>
      </c>
      <c r="B122" s="62" t="s">
        <v>2893</v>
      </c>
      <c r="C122" s="62"/>
      <c r="D122" s="63">
        <v>100</v>
      </c>
      <c r="E122" s="65">
        <v>50</v>
      </c>
      <c r="F122" s="100" t="str">
        <f>HYPERLINK("https://yt3.ggpht.com/g90iJwJEKCUlSGJ0Mo3hRfTi5z8yAuVSYQmaW2HB9qtKXt2ggMifV4Vvzx6VB3tZW59kaAhD=s88-c-k-c0x00ffffff-no-rj")</f>
        <v>https://yt3.ggpht.com/g90iJwJEKCUlSGJ0Mo3hRfTi5z8yAuVSYQmaW2HB9qtKXt2ggMifV4Vvzx6VB3tZW59kaAhD=s88-c-k-c0x00ffffff-no-rj</v>
      </c>
      <c r="G122" s="62"/>
      <c r="H122" s="66" t="s">
        <v>1172</v>
      </c>
      <c r="I122" s="67"/>
      <c r="J122" s="67" t="s">
        <v>159</v>
      </c>
      <c r="K122" s="66" t="s">
        <v>1172</v>
      </c>
      <c r="L122" s="70"/>
      <c r="M122" s="71">
        <v>7180.1328125</v>
      </c>
      <c r="N122" s="71">
        <v>3047.447998046875</v>
      </c>
      <c r="O122" s="72"/>
      <c r="P122" s="73"/>
      <c r="Q122" s="73"/>
      <c r="R122" s="94"/>
      <c r="S122" s="45">
        <v>0</v>
      </c>
      <c r="T122" s="45">
        <v>1</v>
      </c>
      <c r="U122" s="46">
        <v>0</v>
      </c>
      <c r="V122" s="46">
        <v>0.015981</v>
      </c>
      <c r="W122" s="46">
        <v>0</v>
      </c>
      <c r="X122" s="46">
        <v>0.00207</v>
      </c>
      <c r="Y122" s="46">
        <v>0</v>
      </c>
      <c r="Z122" s="46">
        <v>0</v>
      </c>
      <c r="AA122" s="68">
        <v>122</v>
      </c>
      <c r="AB122" s="68"/>
      <c r="AC122" s="69"/>
      <c r="AD122" s="83" t="s">
        <v>1172</v>
      </c>
      <c r="AE122" s="83" t="s">
        <v>1968</v>
      </c>
      <c r="AF122" s="83"/>
      <c r="AG122" s="83"/>
      <c r="AH122" s="83"/>
      <c r="AI122" s="83" t="s">
        <v>2200</v>
      </c>
      <c r="AJ122" s="92">
        <v>42130.86613425926</v>
      </c>
      <c r="AK122" s="89" t="str">
        <f>HYPERLINK("https://yt3.ggpht.com/g90iJwJEKCUlSGJ0Mo3hRfTi5z8yAuVSYQmaW2HB9qtKXt2ggMifV4Vvzx6VB3tZW59kaAhD=s88-c-k-c0x00ffffff-no-rj")</f>
        <v>https://yt3.ggpht.com/g90iJwJEKCUlSGJ0Mo3hRfTi5z8yAuVSYQmaW2HB9qtKXt2ggMifV4Vvzx6VB3tZW59kaAhD=s88-c-k-c0x00ffffff-no-rj</v>
      </c>
      <c r="AL122" s="83">
        <v>1663</v>
      </c>
      <c r="AM122" s="83">
        <v>0</v>
      </c>
      <c r="AN122" s="83">
        <v>8</v>
      </c>
      <c r="AO122" s="83" t="b">
        <v>0</v>
      </c>
      <c r="AP122" s="83">
        <v>7</v>
      </c>
      <c r="AQ122" s="83"/>
      <c r="AR122" s="83"/>
      <c r="AS122" s="83" t="s">
        <v>2744</v>
      </c>
      <c r="AT122" s="89" t="str">
        <f>HYPERLINK("https://www.youtube.com/channel/UCc5sSVJ3ob6HDvZ_rbwutHQ")</f>
        <v>https://www.youtube.com/channel/UCc5sSVJ3ob6HDvZ_rbwutHQ</v>
      </c>
      <c r="AU122" s="83" t="str">
        <f>REPLACE(INDEX(GroupVertices[Group],MATCH(Vertices[[#This Row],[Vertex]],GroupVertices[Vertex],0)),1,1,"")</f>
        <v>11</v>
      </c>
      <c r="AV122" s="45"/>
      <c r="AW122" s="46"/>
      <c r="AX122" s="45"/>
      <c r="AY122" s="46"/>
      <c r="AZ122" s="45"/>
      <c r="BA122" s="46"/>
      <c r="BB122" s="45"/>
      <c r="BC122" s="46"/>
      <c r="BD122" s="45"/>
      <c r="BE122" s="110" t="s">
        <v>1874</v>
      </c>
      <c r="BF122" s="110" t="s">
        <v>1874</v>
      </c>
      <c r="BG122" s="110" t="s">
        <v>1874</v>
      </c>
      <c r="BH122" s="110" t="s">
        <v>1874</v>
      </c>
      <c r="BI122" s="2"/>
    </row>
    <row r="123" spans="1:61" ht="15">
      <c r="A123" s="61" t="s">
        <v>335</v>
      </c>
      <c r="B123" s="62" t="s">
        <v>2893</v>
      </c>
      <c r="C123" s="62"/>
      <c r="D123" s="63">
        <v>100</v>
      </c>
      <c r="E123" s="65">
        <v>50</v>
      </c>
      <c r="F123" s="100" t="str">
        <f>HYPERLINK("https://yt3.ggpht.com/ytc/AGIKgqON5Tvc_VTbpWf-_phMTCFdwrQ_dznbYpULdsPWdVI0IBs-qYa2XOZwL6i7LyPl=s88-c-k-c0x00ffffff-no-rj")</f>
        <v>https://yt3.ggpht.com/ytc/AGIKgqON5Tvc_VTbpWf-_phMTCFdwrQ_dznbYpULdsPWdVI0IBs-qYa2XOZwL6i7LyPl=s88-c-k-c0x00ffffff-no-rj</v>
      </c>
      <c r="G123" s="62"/>
      <c r="H123" s="66" t="s">
        <v>1173</v>
      </c>
      <c r="I123" s="67"/>
      <c r="J123" s="67" t="s">
        <v>159</v>
      </c>
      <c r="K123" s="66" t="s">
        <v>1173</v>
      </c>
      <c r="L123" s="70"/>
      <c r="M123" s="71">
        <v>7977.92529296875</v>
      </c>
      <c r="N123" s="71">
        <v>3637.276611328125</v>
      </c>
      <c r="O123" s="72"/>
      <c r="P123" s="73"/>
      <c r="Q123" s="73"/>
      <c r="R123" s="94"/>
      <c r="S123" s="45">
        <v>0</v>
      </c>
      <c r="T123" s="45">
        <v>1</v>
      </c>
      <c r="U123" s="46">
        <v>0</v>
      </c>
      <c r="V123" s="46">
        <v>0.015981</v>
      </c>
      <c r="W123" s="46">
        <v>0</v>
      </c>
      <c r="X123" s="46">
        <v>0.00207</v>
      </c>
      <c r="Y123" s="46">
        <v>0</v>
      </c>
      <c r="Z123" s="46">
        <v>0</v>
      </c>
      <c r="AA123" s="68">
        <v>123</v>
      </c>
      <c r="AB123" s="68"/>
      <c r="AC123" s="69"/>
      <c r="AD123" s="83" t="s">
        <v>1173</v>
      </c>
      <c r="AE123" s="83"/>
      <c r="AF123" s="83"/>
      <c r="AG123" s="83"/>
      <c r="AH123" s="83"/>
      <c r="AI123" s="83" t="s">
        <v>2201</v>
      </c>
      <c r="AJ123" s="92">
        <v>44812.65950231482</v>
      </c>
      <c r="AK123" s="89" t="str">
        <f>HYPERLINK("https://yt3.ggpht.com/ytc/AGIKgqON5Tvc_VTbpWf-_phMTCFdwrQ_dznbYpULdsPWdVI0IBs-qYa2XOZwL6i7LyPl=s88-c-k-c0x00ffffff-no-rj")</f>
        <v>https://yt3.ggpht.com/ytc/AGIKgqON5Tvc_VTbpWf-_phMTCFdwrQ_dznbYpULdsPWdVI0IBs-qYa2XOZwL6i7LyPl=s88-c-k-c0x00ffffff-no-rj</v>
      </c>
      <c r="AL123" s="83">
        <v>0</v>
      </c>
      <c r="AM123" s="83">
        <v>0</v>
      </c>
      <c r="AN123" s="83">
        <v>0</v>
      </c>
      <c r="AO123" s="83" t="b">
        <v>0</v>
      </c>
      <c r="AP123" s="83">
        <v>0</v>
      </c>
      <c r="AQ123" s="83"/>
      <c r="AR123" s="83"/>
      <c r="AS123" s="83" t="s">
        <v>2744</v>
      </c>
      <c r="AT123" s="89" t="str">
        <f>HYPERLINK("https://www.youtube.com/channel/UCj_SCJYU_n4KNHdO2LCalaw")</f>
        <v>https://www.youtube.com/channel/UCj_SCJYU_n4KNHdO2LCalaw</v>
      </c>
      <c r="AU123" s="83" t="str">
        <f>REPLACE(INDEX(GroupVertices[Group],MATCH(Vertices[[#This Row],[Vertex]],GroupVertices[Vertex],0)),1,1,"")</f>
        <v>11</v>
      </c>
      <c r="AV123" s="45"/>
      <c r="AW123" s="46"/>
      <c r="AX123" s="45"/>
      <c r="AY123" s="46"/>
      <c r="AZ123" s="45"/>
      <c r="BA123" s="46"/>
      <c r="BB123" s="45"/>
      <c r="BC123" s="46"/>
      <c r="BD123" s="45"/>
      <c r="BE123" s="110" t="s">
        <v>1874</v>
      </c>
      <c r="BF123" s="110" t="s">
        <v>1874</v>
      </c>
      <c r="BG123" s="110" t="s">
        <v>1874</v>
      </c>
      <c r="BH123" s="110" t="s">
        <v>1874</v>
      </c>
      <c r="BI123" s="2"/>
    </row>
    <row r="124" spans="1:61" ht="15">
      <c r="A124" s="61" t="s">
        <v>336</v>
      </c>
      <c r="B124" s="62" t="s">
        <v>2893</v>
      </c>
      <c r="C124" s="62"/>
      <c r="D124" s="63">
        <v>100</v>
      </c>
      <c r="E124" s="65">
        <v>50</v>
      </c>
      <c r="F124" s="100" t="str">
        <f>HYPERLINK("https://yt3.ggpht.com/ie027m6kHh7DH8F6mvG8cWM804xswWuCJ4jXScY9of5vVvbMxR8yCRXj0Z03UiZq5vnI8BwQ=s88-c-k-c0x00ffffff-no-rj")</f>
        <v>https://yt3.ggpht.com/ie027m6kHh7DH8F6mvG8cWM804xswWuCJ4jXScY9of5vVvbMxR8yCRXj0Z03UiZq5vnI8BwQ=s88-c-k-c0x00ffffff-no-rj</v>
      </c>
      <c r="G124" s="62"/>
      <c r="H124" s="66" t="s">
        <v>1174</v>
      </c>
      <c r="I124" s="67"/>
      <c r="J124" s="67" t="s">
        <v>159</v>
      </c>
      <c r="K124" s="66" t="s">
        <v>1174</v>
      </c>
      <c r="L124" s="70"/>
      <c r="M124" s="71">
        <v>7446.06396484375</v>
      </c>
      <c r="N124" s="71">
        <v>547.6980590820312</v>
      </c>
      <c r="O124" s="72"/>
      <c r="P124" s="73"/>
      <c r="Q124" s="73"/>
      <c r="R124" s="94"/>
      <c r="S124" s="45">
        <v>0</v>
      </c>
      <c r="T124" s="45">
        <v>1</v>
      </c>
      <c r="U124" s="46">
        <v>0</v>
      </c>
      <c r="V124" s="46">
        <v>0.011264</v>
      </c>
      <c r="W124" s="46">
        <v>0</v>
      </c>
      <c r="X124" s="46">
        <v>0.002078</v>
      </c>
      <c r="Y124" s="46">
        <v>0</v>
      </c>
      <c r="Z124" s="46">
        <v>0</v>
      </c>
      <c r="AA124" s="68">
        <v>124</v>
      </c>
      <c r="AB124" s="68"/>
      <c r="AC124" s="69"/>
      <c r="AD124" s="83" t="s">
        <v>1174</v>
      </c>
      <c r="AE124" s="83"/>
      <c r="AF124" s="83"/>
      <c r="AG124" s="83"/>
      <c r="AH124" s="83"/>
      <c r="AI124" s="83" t="s">
        <v>2202</v>
      </c>
      <c r="AJ124" s="92">
        <v>43836.03902777778</v>
      </c>
      <c r="AK124" s="89" t="str">
        <f>HYPERLINK("https://yt3.ggpht.com/ie027m6kHh7DH8F6mvG8cWM804xswWuCJ4jXScY9of5vVvbMxR8yCRXj0Z03UiZq5vnI8BwQ=s88-c-k-c0x00ffffff-no-rj")</f>
        <v>https://yt3.ggpht.com/ie027m6kHh7DH8F6mvG8cWM804xswWuCJ4jXScY9of5vVvbMxR8yCRXj0Z03UiZq5vnI8BwQ=s88-c-k-c0x00ffffff-no-rj</v>
      </c>
      <c r="AL124" s="83">
        <v>0</v>
      </c>
      <c r="AM124" s="83">
        <v>0</v>
      </c>
      <c r="AN124" s="83">
        <v>0</v>
      </c>
      <c r="AO124" s="83" t="b">
        <v>0</v>
      </c>
      <c r="AP124" s="83">
        <v>0</v>
      </c>
      <c r="AQ124" s="83"/>
      <c r="AR124" s="83"/>
      <c r="AS124" s="83" t="s">
        <v>2744</v>
      </c>
      <c r="AT124" s="89" t="str">
        <f>HYPERLINK("https://www.youtube.com/channel/UCJKyUE6bvL2CQcbRGOUDCTQ")</f>
        <v>https://www.youtube.com/channel/UCJKyUE6bvL2CQcbRGOUDCTQ</v>
      </c>
      <c r="AU124" s="83" t="str">
        <f>REPLACE(INDEX(GroupVertices[Group],MATCH(Vertices[[#This Row],[Vertex]],GroupVertices[Vertex],0)),1,1,"")</f>
        <v>12</v>
      </c>
      <c r="AV124" s="45"/>
      <c r="AW124" s="46"/>
      <c r="AX124" s="45"/>
      <c r="AY124" s="46"/>
      <c r="AZ124" s="45"/>
      <c r="BA124" s="46"/>
      <c r="BB124" s="45"/>
      <c r="BC124" s="46"/>
      <c r="BD124" s="45"/>
      <c r="BE124" s="110" t="s">
        <v>1874</v>
      </c>
      <c r="BF124" s="110" t="s">
        <v>1874</v>
      </c>
      <c r="BG124" s="110" t="s">
        <v>1874</v>
      </c>
      <c r="BH124" s="110" t="s">
        <v>1874</v>
      </c>
      <c r="BI124" s="2"/>
    </row>
    <row r="125" spans="1:61" ht="15">
      <c r="A125" s="61" t="s">
        <v>639</v>
      </c>
      <c r="B125" s="62" t="s">
        <v>2893</v>
      </c>
      <c r="C125" s="62"/>
      <c r="D125" s="63">
        <v>189.10891089108912</v>
      </c>
      <c r="E125" s="65">
        <v>100</v>
      </c>
      <c r="F125" s="100" t="str">
        <f>HYPERLINK("https://yt3.ggpht.com/foJ4U_QVX3eV7GXwmP54g8mmgEL5hbGc1DfMYlYSeoILZ1lbSyHqGxRi1uTlCARwVzKFGvYg=s88-c-k-c0x00ffffff-no-rj")</f>
        <v>https://yt3.ggpht.com/foJ4U_QVX3eV7GXwmP54g8mmgEL5hbGc1DfMYlYSeoILZ1lbSyHqGxRi1uTlCARwVzKFGvYg=s88-c-k-c0x00ffffff-no-rj</v>
      </c>
      <c r="G125" s="62"/>
      <c r="H125" s="66" t="s">
        <v>1897</v>
      </c>
      <c r="I125" s="67"/>
      <c r="J125" s="67" t="s">
        <v>75</v>
      </c>
      <c r="K125" s="66" t="s">
        <v>1897</v>
      </c>
      <c r="L125" s="70"/>
      <c r="M125" s="71">
        <v>7446.06396484375</v>
      </c>
      <c r="N125" s="71">
        <v>1615.007080078125</v>
      </c>
      <c r="O125" s="72"/>
      <c r="P125" s="73"/>
      <c r="Q125" s="73"/>
      <c r="R125" s="94"/>
      <c r="S125" s="45">
        <v>10</v>
      </c>
      <c r="T125" s="45">
        <v>1</v>
      </c>
      <c r="U125" s="46">
        <v>72</v>
      </c>
      <c r="V125" s="46">
        <v>0.021277</v>
      </c>
      <c r="W125" s="46">
        <v>0</v>
      </c>
      <c r="X125" s="46">
        <v>0.004883</v>
      </c>
      <c r="Y125" s="46">
        <v>0</v>
      </c>
      <c r="Z125" s="46">
        <v>0</v>
      </c>
      <c r="AA125" s="68">
        <v>125</v>
      </c>
      <c r="AB125" s="68"/>
      <c r="AC125" s="69"/>
      <c r="AD125" s="83" t="s">
        <v>1897</v>
      </c>
      <c r="AE125" s="83"/>
      <c r="AF125" s="83"/>
      <c r="AG125" s="83"/>
      <c r="AH125" s="83"/>
      <c r="AI125" s="83" t="s">
        <v>2203</v>
      </c>
      <c r="AJ125" s="83" t="s">
        <v>2576</v>
      </c>
      <c r="AK125" s="89" t="str">
        <f>HYPERLINK("https://yt3.ggpht.com/foJ4U_QVX3eV7GXwmP54g8mmgEL5hbGc1DfMYlYSeoILZ1lbSyHqGxRi1uTlCARwVzKFGvYg=s88-c-k-c0x00ffffff-no-rj")</f>
        <v>https://yt3.ggpht.com/foJ4U_QVX3eV7GXwmP54g8mmgEL5hbGc1DfMYlYSeoILZ1lbSyHqGxRi1uTlCARwVzKFGvYg=s88-c-k-c0x00ffffff-no-rj</v>
      </c>
      <c r="AL125" s="83">
        <v>2424</v>
      </c>
      <c r="AM125" s="83">
        <v>0</v>
      </c>
      <c r="AN125" s="83">
        <v>86</v>
      </c>
      <c r="AO125" s="83" t="b">
        <v>0</v>
      </c>
      <c r="AP125" s="83">
        <v>11</v>
      </c>
      <c r="AQ125" s="83"/>
      <c r="AR125" s="83"/>
      <c r="AS125" s="83" t="s">
        <v>2744</v>
      </c>
      <c r="AT125" s="89" t="str">
        <f>HYPERLINK("https://www.youtube.com/channel/UCkCN8G1NmCQkqVdnBXEAWhg")</f>
        <v>https://www.youtube.com/channel/UCkCN8G1NmCQkqVdnBXEAWhg</v>
      </c>
      <c r="AU125" s="83" t="str">
        <f>REPLACE(INDEX(GroupVertices[Group],MATCH(Vertices[[#This Row],[Vertex]],GroupVertices[Vertex],0)),1,1,"")</f>
        <v>12</v>
      </c>
      <c r="AV125" s="45"/>
      <c r="AW125" s="46"/>
      <c r="AX125" s="45"/>
      <c r="AY125" s="46"/>
      <c r="AZ125" s="45"/>
      <c r="BA125" s="46"/>
      <c r="BB125" s="45"/>
      <c r="BC125" s="46"/>
      <c r="BD125" s="45"/>
      <c r="BE125" s="110" t="s">
        <v>1874</v>
      </c>
      <c r="BF125" s="110" t="s">
        <v>1874</v>
      </c>
      <c r="BG125" s="110" t="s">
        <v>1874</v>
      </c>
      <c r="BH125" s="110" t="s">
        <v>1874</v>
      </c>
      <c r="BI125" s="2"/>
    </row>
    <row r="126" spans="1:61" ht="15">
      <c r="A126" s="61" t="s">
        <v>337</v>
      </c>
      <c r="B126" s="62" t="s">
        <v>2893</v>
      </c>
      <c r="C126" s="62"/>
      <c r="D126" s="63">
        <v>100</v>
      </c>
      <c r="E126" s="65">
        <v>50</v>
      </c>
      <c r="F126" s="100" t="str">
        <f>HYPERLINK("https://yt3.ggpht.com/ytc/AGIKgqM-PmvIx2ptNG-accKi68CqEBkEuulXAsQ5dQ=s88-c-k-c0x00ffffff-no-rj")</f>
        <v>https://yt3.ggpht.com/ytc/AGIKgqM-PmvIx2ptNG-accKi68CqEBkEuulXAsQ5dQ=s88-c-k-c0x00ffffff-no-rj</v>
      </c>
      <c r="G126" s="62"/>
      <c r="H126" s="66" t="s">
        <v>1175</v>
      </c>
      <c r="I126" s="67"/>
      <c r="J126" s="67" t="s">
        <v>159</v>
      </c>
      <c r="K126" s="66" t="s">
        <v>1175</v>
      </c>
      <c r="L126" s="70"/>
      <c r="M126" s="71">
        <v>7180.1328125</v>
      </c>
      <c r="N126" s="71">
        <v>547.6980590820312</v>
      </c>
      <c r="O126" s="72"/>
      <c r="P126" s="73"/>
      <c r="Q126" s="73"/>
      <c r="R126" s="94"/>
      <c r="S126" s="45">
        <v>0</v>
      </c>
      <c r="T126" s="45">
        <v>1</v>
      </c>
      <c r="U126" s="46">
        <v>0</v>
      </c>
      <c r="V126" s="46">
        <v>0.011264</v>
      </c>
      <c r="W126" s="46">
        <v>0</v>
      </c>
      <c r="X126" s="46">
        <v>0.002078</v>
      </c>
      <c r="Y126" s="46">
        <v>0</v>
      </c>
      <c r="Z126" s="46">
        <v>0</v>
      </c>
      <c r="AA126" s="68">
        <v>126</v>
      </c>
      <c r="AB126" s="68"/>
      <c r="AC126" s="69"/>
      <c r="AD126" s="83" t="s">
        <v>1175</v>
      </c>
      <c r="AE126" s="83"/>
      <c r="AF126" s="83"/>
      <c r="AG126" s="83"/>
      <c r="AH126" s="83"/>
      <c r="AI126" s="83" t="s">
        <v>2204</v>
      </c>
      <c r="AJ126" s="83" t="s">
        <v>2577</v>
      </c>
      <c r="AK126" s="89" t="str">
        <f>HYPERLINK("https://yt3.ggpht.com/ytc/AGIKgqM-PmvIx2ptNG-accKi68CqEBkEuulXAsQ5dQ=s88-c-k-c0x00ffffff-no-rj")</f>
        <v>https://yt3.ggpht.com/ytc/AGIKgqM-PmvIx2ptNG-accKi68CqEBkEuulXAsQ5dQ=s88-c-k-c0x00ffffff-no-rj</v>
      </c>
      <c r="AL126" s="83">
        <v>0</v>
      </c>
      <c r="AM126" s="83">
        <v>0</v>
      </c>
      <c r="AN126" s="83">
        <v>0</v>
      </c>
      <c r="AO126" s="83" t="b">
        <v>0</v>
      </c>
      <c r="AP126" s="83">
        <v>0</v>
      </c>
      <c r="AQ126" s="83"/>
      <c r="AR126" s="83"/>
      <c r="AS126" s="83" t="s">
        <v>2744</v>
      </c>
      <c r="AT126" s="89" t="str">
        <f>HYPERLINK("https://www.youtube.com/channel/UCUDTCHsE7qwTvgknRAsQoyA")</f>
        <v>https://www.youtube.com/channel/UCUDTCHsE7qwTvgknRAsQoyA</v>
      </c>
      <c r="AU126" s="83" t="str">
        <f>REPLACE(INDEX(GroupVertices[Group],MATCH(Vertices[[#This Row],[Vertex]],GroupVertices[Vertex],0)),1,1,"")</f>
        <v>12</v>
      </c>
      <c r="AV126" s="45"/>
      <c r="AW126" s="46"/>
      <c r="AX126" s="45"/>
      <c r="AY126" s="46"/>
      <c r="AZ126" s="45"/>
      <c r="BA126" s="46"/>
      <c r="BB126" s="45"/>
      <c r="BC126" s="46"/>
      <c r="BD126" s="45"/>
      <c r="BE126" s="110" t="s">
        <v>1874</v>
      </c>
      <c r="BF126" s="110" t="s">
        <v>1874</v>
      </c>
      <c r="BG126" s="110" t="s">
        <v>1874</v>
      </c>
      <c r="BH126" s="110" t="s">
        <v>1874</v>
      </c>
      <c r="BI126" s="2"/>
    </row>
    <row r="127" spans="1:61" ht="15">
      <c r="A127" s="61" t="s">
        <v>338</v>
      </c>
      <c r="B127" s="62" t="s">
        <v>2893</v>
      </c>
      <c r="C127" s="62"/>
      <c r="D127" s="63">
        <v>100</v>
      </c>
      <c r="E127" s="65">
        <v>50</v>
      </c>
      <c r="F127" s="100" t="str">
        <f>HYPERLINK("https://yt3.ggpht.com/ytc/AGIKgqP8nV8c-neTmZ1gE1BuAtmybpJJmhemO1hhSrLqj5lNVTqXef4o5rUkBk8rUbd6=s88-c-k-c0x00ffffff-no-rj")</f>
        <v>https://yt3.ggpht.com/ytc/AGIKgqP8nV8c-neTmZ1gE1BuAtmybpJJmhemO1hhSrLqj5lNVTqXef4o5rUkBk8rUbd6=s88-c-k-c0x00ffffff-no-rj</v>
      </c>
      <c r="G127" s="62"/>
      <c r="H127" s="66" t="s">
        <v>1176</v>
      </c>
      <c r="I127" s="67"/>
      <c r="J127" s="67" t="s">
        <v>159</v>
      </c>
      <c r="K127" s="66" t="s">
        <v>1176</v>
      </c>
      <c r="L127" s="70"/>
      <c r="M127" s="71">
        <v>7977.92529296875</v>
      </c>
      <c r="N127" s="71">
        <v>1081.3525390625</v>
      </c>
      <c r="O127" s="72"/>
      <c r="P127" s="73"/>
      <c r="Q127" s="73"/>
      <c r="R127" s="94"/>
      <c r="S127" s="45">
        <v>0</v>
      </c>
      <c r="T127" s="45">
        <v>1</v>
      </c>
      <c r="U127" s="46">
        <v>0</v>
      </c>
      <c r="V127" s="46">
        <v>0.011264</v>
      </c>
      <c r="W127" s="46">
        <v>0</v>
      </c>
      <c r="X127" s="46">
        <v>0.002078</v>
      </c>
      <c r="Y127" s="46">
        <v>0</v>
      </c>
      <c r="Z127" s="46">
        <v>0</v>
      </c>
      <c r="AA127" s="68">
        <v>127</v>
      </c>
      <c r="AB127" s="68"/>
      <c r="AC127" s="69"/>
      <c r="AD127" s="83" t="s">
        <v>1176</v>
      </c>
      <c r="AE127" s="83"/>
      <c r="AF127" s="83"/>
      <c r="AG127" s="83"/>
      <c r="AH127" s="83"/>
      <c r="AI127" s="83" t="s">
        <v>2205</v>
      </c>
      <c r="AJ127" s="92">
        <v>44017.274502314816</v>
      </c>
      <c r="AK127" s="89" t="str">
        <f>HYPERLINK("https://yt3.ggpht.com/ytc/AGIKgqP8nV8c-neTmZ1gE1BuAtmybpJJmhemO1hhSrLqj5lNVTqXef4o5rUkBk8rUbd6=s88-c-k-c0x00ffffff-no-rj")</f>
        <v>https://yt3.ggpht.com/ytc/AGIKgqP8nV8c-neTmZ1gE1BuAtmybpJJmhemO1hhSrLqj5lNVTqXef4o5rUkBk8rUbd6=s88-c-k-c0x00ffffff-no-rj</v>
      </c>
      <c r="AL127" s="83">
        <v>0</v>
      </c>
      <c r="AM127" s="83">
        <v>0</v>
      </c>
      <c r="AN127" s="83">
        <v>0</v>
      </c>
      <c r="AO127" s="83" t="b">
        <v>0</v>
      </c>
      <c r="AP127" s="83">
        <v>0</v>
      </c>
      <c r="AQ127" s="83"/>
      <c r="AR127" s="83"/>
      <c r="AS127" s="83" t="s">
        <v>2744</v>
      </c>
      <c r="AT127" s="89" t="str">
        <f>HYPERLINK("https://www.youtube.com/channel/UCqrgzoNe8YdlyQTSatFkIMg")</f>
        <v>https://www.youtube.com/channel/UCqrgzoNe8YdlyQTSatFkIMg</v>
      </c>
      <c r="AU127" s="83" t="str">
        <f>REPLACE(INDEX(GroupVertices[Group],MATCH(Vertices[[#This Row],[Vertex]],GroupVertices[Vertex],0)),1,1,"")</f>
        <v>12</v>
      </c>
      <c r="AV127" s="45"/>
      <c r="AW127" s="46"/>
      <c r="AX127" s="45"/>
      <c r="AY127" s="46"/>
      <c r="AZ127" s="45"/>
      <c r="BA127" s="46"/>
      <c r="BB127" s="45"/>
      <c r="BC127" s="46"/>
      <c r="BD127" s="45"/>
      <c r="BE127" s="110" t="s">
        <v>1874</v>
      </c>
      <c r="BF127" s="110" t="s">
        <v>1874</v>
      </c>
      <c r="BG127" s="110" t="s">
        <v>1874</v>
      </c>
      <c r="BH127" s="110" t="s">
        <v>1874</v>
      </c>
      <c r="BI127" s="2"/>
    </row>
    <row r="128" spans="1:61" ht="15">
      <c r="A128" s="61" t="s">
        <v>339</v>
      </c>
      <c r="B128" s="62" t="s">
        <v>2893</v>
      </c>
      <c r="C128" s="62"/>
      <c r="D128" s="63">
        <v>100</v>
      </c>
      <c r="E128" s="65">
        <v>50</v>
      </c>
      <c r="F128" s="100" t="str">
        <f>HYPERLINK("https://yt3.ggpht.com/ytc/AGIKgqPNgcuwSw2FNftnFahvNy6yhVcZLsCOxEVvGw=s88-c-k-c0x00ffffff-no-rj")</f>
        <v>https://yt3.ggpht.com/ytc/AGIKgqPNgcuwSw2FNftnFahvNy6yhVcZLsCOxEVvGw=s88-c-k-c0x00ffffff-no-rj</v>
      </c>
      <c r="G128" s="62"/>
      <c r="H128" s="66" t="s">
        <v>1177</v>
      </c>
      <c r="I128" s="67"/>
      <c r="J128" s="67" t="s">
        <v>159</v>
      </c>
      <c r="K128" s="66" t="s">
        <v>1177</v>
      </c>
      <c r="L128" s="70"/>
      <c r="M128" s="71">
        <v>7711.99462890625</v>
      </c>
      <c r="N128" s="71">
        <v>1081.3525390625</v>
      </c>
      <c r="O128" s="72"/>
      <c r="P128" s="73"/>
      <c r="Q128" s="73"/>
      <c r="R128" s="94"/>
      <c r="S128" s="45">
        <v>0</v>
      </c>
      <c r="T128" s="45">
        <v>1</v>
      </c>
      <c r="U128" s="46">
        <v>0</v>
      </c>
      <c r="V128" s="46">
        <v>0.011264</v>
      </c>
      <c r="W128" s="46">
        <v>0</v>
      </c>
      <c r="X128" s="46">
        <v>0.002078</v>
      </c>
      <c r="Y128" s="46">
        <v>0</v>
      </c>
      <c r="Z128" s="46">
        <v>0</v>
      </c>
      <c r="AA128" s="68">
        <v>128</v>
      </c>
      <c r="AB128" s="68"/>
      <c r="AC128" s="69"/>
      <c r="AD128" s="83" t="s">
        <v>1177</v>
      </c>
      <c r="AE128" s="83"/>
      <c r="AF128" s="83"/>
      <c r="AG128" s="83"/>
      <c r="AH128" s="83"/>
      <c r="AI128" s="83" t="s">
        <v>2206</v>
      </c>
      <c r="AJ128" s="92">
        <v>44084.34950231481</v>
      </c>
      <c r="AK128" s="89" t="str">
        <f>HYPERLINK("https://yt3.ggpht.com/ytc/AGIKgqPNgcuwSw2FNftnFahvNy6yhVcZLsCOxEVvGw=s88-c-k-c0x00ffffff-no-rj")</f>
        <v>https://yt3.ggpht.com/ytc/AGIKgqPNgcuwSw2FNftnFahvNy6yhVcZLsCOxEVvGw=s88-c-k-c0x00ffffff-no-rj</v>
      </c>
      <c r="AL128" s="83">
        <v>0</v>
      </c>
      <c r="AM128" s="83">
        <v>0</v>
      </c>
      <c r="AN128" s="83">
        <v>0</v>
      </c>
      <c r="AO128" s="83" t="b">
        <v>0</v>
      </c>
      <c r="AP128" s="83">
        <v>0</v>
      </c>
      <c r="AQ128" s="83"/>
      <c r="AR128" s="83"/>
      <c r="AS128" s="83" t="s">
        <v>2744</v>
      </c>
      <c r="AT128" s="89" t="str">
        <f>HYPERLINK("https://www.youtube.com/channel/UCXxmP0ak59EVuBlVSuP1EmQ")</f>
        <v>https://www.youtube.com/channel/UCXxmP0ak59EVuBlVSuP1EmQ</v>
      </c>
      <c r="AU128" s="83" t="str">
        <f>REPLACE(INDEX(GroupVertices[Group],MATCH(Vertices[[#This Row],[Vertex]],GroupVertices[Vertex],0)),1,1,"")</f>
        <v>12</v>
      </c>
      <c r="AV128" s="45"/>
      <c r="AW128" s="46"/>
      <c r="AX128" s="45"/>
      <c r="AY128" s="46"/>
      <c r="AZ128" s="45"/>
      <c r="BA128" s="46"/>
      <c r="BB128" s="45"/>
      <c r="BC128" s="46"/>
      <c r="BD128" s="45"/>
      <c r="BE128" s="110" t="s">
        <v>1874</v>
      </c>
      <c r="BF128" s="110" t="s">
        <v>1874</v>
      </c>
      <c r="BG128" s="110" t="s">
        <v>1874</v>
      </c>
      <c r="BH128" s="110" t="s">
        <v>1874</v>
      </c>
      <c r="BI128" s="2"/>
    </row>
    <row r="129" spans="1:61" ht="15">
      <c r="A129" s="61" t="s">
        <v>340</v>
      </c>
      <c r="B129" s="62" t="s">
        <v>2893</v>
      </c>
      <c r="C129" s="62"/>
      <c r="D129" s="63">
        <v>100</v>
      </c>
      <c r="E129" s="65">
        <v>50</v>
      </c>
      <c r="F129" s="100" t="str">
        <f>HYPERLINK("https://yt3.ggpht.com/pK9ctMKbB_mvmSB-ZzVRsDc8SbhxwoIveyTMD40W7Dz1rc_7evnLtWQKn1IsqCm1w2_drO-t0A=s88-c-k-c0x00ffffff-no-rj")</f>
        <v>https://yt3.ggpht.com/pK9ctMKbB_mvmSB-ZzVRsDc8SbhxwoIveyTMD40W7Dz1rc_7evnLtWQKn1IsqCm1w2_drO-t0A=s88-c-k-c0x00ffffff-no-rj</v>
      </c>
      <c r="G129" s="62"/>
      <c r="H129" s="66" t="s">
        <v>1178</v>
      </c>
      <c r="I129" s="67"/>
      <c r="J129" s="67" t="s">
        <v>159</v>
      </c>
      <c r="K129" s="66" t="s">
        <v>1178</v>
      </c>
      <c r="L129" s="70"/>
      <c r="M129" s="71">
        <v>7711.99462890625</v>
      </c>
      <c r="N129" s="71">
        <v>3637.276611328125</v>
      </c>
      <c r="O129" s="72"/>
      <c r="P129" s="73"/>
      <c r="Q129" s="73"/>
      <c r="R129" s="94"/>
      <c r="S129" s="45">
        <v>0</v>
      </c>
      <c r="T129" s="45">
        <v>1</v>
      </c>
      <c r="U129" s="46">
        <v>0</v>
      </c>
      <c r="V129" s="46">
        <v>0.015981</v>
      </c>
      <c r="W129" s="46">
        <v>0</v>
      </c>
      <c r="X129" s="46">
        <v>0.00207</v>
      </c>
      <c r="Y129" s="46">
        <v>0</v>
      </c>
      <c r="Z129" s="46">
        <v>0</v>
      </c>
      <c r="AA129" s="68">
        <v>129</v>
      </c>
      <c r="AB129" s="68"/>
      <c r="AC129" s="69"/>
      <c r="AD129" s="83" t="s">
        <v>1178</v>
      </c>
      <c r="AE129" s="83"/>
      <c r="AF129" s="83"/>
      <c r="AG129" s="83"/>
      <c r="AH129" s="83"/>
      <c r="AI129" s="83" t="s">
        <v>2207</v>
      </c>
      <c r="AJ129" s="83" t="s">
        <v>2578</v>
      </c>
      <c r="AK129" s="89" t="str">
        <f>HYPERLINK("https://yt3.ggpht.com/pK9ctMKbB_mvmSB-ZzVRsDc8SbhxwoIveyTMD40W7Dz1rc_7evnLtWQKn1IsqCm1w2_drO-t0A=s88-c-k-c0x00ffffff-no-rj")</f>
        <v>https://yt3.ggpht.com/pK9ctMKbB_mvmSB-ZzVRsDc8SbhxwoIveyTMD40W7Dz1rc_7evnLtWQKn1IsqCm1w2_drO-t0A=s88-c-k-c0x00ffffff-no-rj</v>
      </c>
      <c r="AL129" s="83">
        <v>0</v>
      </c>
      <c r="AM129" s="83">
        <v>0</v>
      </c>
      <c r="AN129" s="83">
        <v>3</v>
      </c>
      <c r="AO129" s="83" t="b">
        <v>0</v>
      </c>
      <c r="AP129" s="83">
        <v>0</v>
      </c>
      <c r="AQ129" s="83"/>
      <c r="AR129" s="83"/>
      <c r="AS129" s="83" t="s">
        <v>2744</v>
      </c>
      <c r="AT129" s="89" t="str">
        <f>HYPERLINK("https://www.youtube.com/channel/UC2l0tg_qVj0y20_ZqjikdGw")</f>
        <v>https://www.youtube.com/channel/UC2l0tg_qVj0y20_ZqjikdGw</v>
      </c>
      <c r="AU129" s="83" t="str">
        <f>REPLACE(INDEX(GroupVertices[Group],MATCH(Vertices[[#This Row],[Vertex]],GroupVertices[Vertex],0)),1,1,"")</f>
        <v>11</v>
      </c>
      <c r="AV129" s="45"/>
      <c r="AW129" s="46"/>
      <c r="AX129" s="45"/>
      <c r="AY129" s="46"/>
      <c r="AZ129" s="45"/>
      <c r="BA129" s="46"/>
      <c r="BB129" s="45"/>
      <c r="BC129" s="46"/>
      <c r="BD129" s="45"/>
      <c r="BE129" s="110" t="s">
        <v>1874</v>
      </c>
      <c r="BF129" s="110" t="s">
        <v>1874</v>
      </c>
      <c r="BG129" s="110" t="s">
        <v>1874</v>
      </c>
      <c r="BH129" s="110" t="s">
        <v>1874</v>
      </c>
      <c r="BI129" s="2"/>
    </row>
    <row r="130" spans="1:61" ht="15">
      <c r="A130" s="61" t="s">
        <v>341</v>
      </c>
      <c r="B130" s="62" t="s">
        <v>2893</v>
      </c>
      <c r="C130" s="62"/>
      <c r="D130" s="63">
        <v>100</v>
      </c>
      <c r="E130" s="65">
        <v>50</v>
      </c>
      <c r="F130" s="100" t="str">
        <f>HYPERLINK("https://yt3.ggpht.com/ytc/AGIKgqOHFPSQSg4uPI-lPoUW3Vd0GgWTT5VHshx2sw=s88-c-k-c0x00ffffff-no-rj")</f>
        <v>https://yt3.ggpht.com/ytc/AGIKgqOHFPSQSg4uPI-lPoUW3Vd0GgWTT5VHshx2sw=s88-c-k-c0x00ffffff-no-rj</v>
      </c>
      <c r="G130" s="62"/>
      <c r="H130" s="66" t="s">
        <v>1179</v>
      </c>
      <c r="I130" s="67"/>
      <c r="J130" s="67" t="s">
        <v>159</v>
      </c>
      <c r="K130" s="66" t="s">
        <v>1179</v>
      </c>
      <c r="L130" s="70"/>
      <c r="M130" s="71">
        <v>8222.2490234375</v>
      </c>
      <c r="N130" s="71">
        <v>6547.80078125</v>
      </c>
      <c r="O130" s="72"/>
      <c r="P130" s="73"/>
      <c r="Q130" s="73"/>
      <c r="R130" s="94"/>
      <c r="S130" s="45">
        <v>0</v>
      </c>
      <c r="T130" s="45">
        <v>1</v>
      </c>
      <c r="U130" s="46">
        <v>0</v>
      </c>
      <c r="V130" s="46">
        <v>0.009267</v>
      </c>
      <c r="W130" s="46">
        <v>0</v>
      </c>
      <c r="X130" s="46">
        <v>0.002136</v>
      </c>
      <c r="Y130" s="46">
        <v>0</v>
      </c>
      <c r="Z130" s="46">
        <v>0</v>
      </c>
      <c r="AA130" s="68">
        <v>130</v>
      </c>
      <c r="AB130" s="68"/>
      <c r="AC130" s="69"/>
      <c r="AD130" s="83" t="s">
        <v>1179</v>
      </c>
      <c r="AE130" s="83"/>
      <c r="AF130" s="83"/>
      <c r="AG130" s="83"/>
      <c r="AH130" s="83"/>
      <c r="AI130" s="83" t="s">
        <v>2208</v>
      </c>
      <c r="AJ130" s="83" t="s">
        <v>2579</v>
      </c>
      <c r="AK130" s="89" t="str">
        <f>HYPERLINK("https://yt3.ggpht.com/ytc/AGIKgqOHFPSQSg4uPI-lPoUW3Vd0GgWTT5VHshx2sw=s88-c-k-c0x00ffffff-no-rj")</f>
        <v>https://yt3.ggpht.com/ytc/AGIKgqOHFPSQSg4uPI-lPoUW3Vd0GgWTT5VHshx2sw=s88-c-k-c0x00ffffff-no-rj</v>
      </c>
      <c r="AL130" s="83">
        <v>0</v>
      </c>
      <c r="AM130" s="83">
        <v>0</v>
      </c>
      <c r="AN130" s="83">
        <v>5</v>
      </c>
      <c r="AO130" s="83" t="b">
        <v>0</v>
      </c>
      <c r="AP130" s="83">
        <v>0</v>
      </c>
      <c r="AQ130" s="83"/>
      <c r="AR130" s="83"/>
      <c r="AS130" s="83" t="s">
        <v>2744</v>
      </c>
      <c r="AT130" s="89" t="str">
        <f>HYPERLINK("https://www.youtube.com/channel/UCh9TC41YxpXHKSHfBys_aDA")</f>
        <v>https://www.youtube.com/channel/UCh9TC41YxpXHKSHfBys_aDA</v>
      </c>
      <c r="AU130" s="83" t="str">
        <f>REPLACE(INDEX(GroupVertices[Group],MATCH(Vertices[[#This Row],[Vertex]],GroupVertices[Vertex],0)),1,1,"")</f>
        <v>10</v>
      </c>
      <c r="AV130" s="45"/>
      <c r="AW130" s="46"/>
      <c r="AX130" s="45"/>
      <c r="AY130" s="46"/>
      <c r="AZ130" s="45"/>
      <c r="BA130" s="46"/>
      <c r="BB130" s="45"/>
      <c r="BC130" s="46"/>
      <c r="BD130" s="45"/>
      <c r="BE130" s="110" t="s">
        <v>1874</v>
      </c>
      <c r="BF130" s="110" t="s">
        <v>1874</v>
      </c>
      <c r="BG130" s="110" t="s">
        <v>1874</v>
      </c>
      <c r="BH130" s="110" t="s">
        <v>1874</v>
      </c>
      <c r="BI130" s="2"/>
    </row>
    <row r="131" spans="1:61" ht="15">
      <c r="A131" s="61" t="s">
        <v>637</v>
      </c>
      <c r="B131" s="62" t="s">
        <v>2893</v>
      </c>
      <c r="C131" s="62"/>
      <c r="D131" s="63">
        <v>126.73267326732673</v>
      </c>
      <c r="E131" s="65">
        <v>68.75</v>
      </c>
      <c r="F131" s="100" t="str">
        <f>HYPERLINK("https://yt3.ggpht.com/ytc/AGIKgqNJRLYpbRxkONpt_giM-P9_TDFPG4lIKMdN6HnRhg=s88-c-k-c0x00ffffff-no-rj")</f>
        <v>https://yt3.ggpht.com/ytc/AGIKgqNJRLYpbRxkONpt_giM-P9_TDFPG4lIKMdN6HnRhg=s88-c-k-c0x00ffffff-no-rj</v>
      </c>
      <c r="G131" s="62"/>
      <c r="H131" s="66" t="s">
        <v>1898</v>
      </c>
      <c r="I131" s="67"/>
      <c r="J131" s="67" t="s">
        <v>159</v>
      </c>
      <c r="K131" s="66" t="s">
        <v>1898</v>
      </c>
      <c r="L131" s="70"/>
      <c r="M131" s="71">
        <v>7550.77392578125</v>
      </c>
      <c r="N131" s="71">
        <v>6547.80078125</v>
      </c>
      <c r="O131" s="72"/>
      <c r="P131" s="73"/>
      <c r="Q131" s="73"/>
      <c r="R131" s="94"/>
      <c r="S131" s="45">
        <v>3</v>
      </c>
      <c r="T131" s="45">
        <v>1</v>
      </c>
      <c r="U131" s="46">
        <v>26</v>
      </c>
      <c r="V131" s="46">
        <v>0.012523</v>
      </c>
      <c r="W131" s="46">
        <v>0</v>
      </c>
      <c r="X131" s="46">
        <v>0.002621</v>
      </c>
      <c r="Y131" s="46">
        <v>0</v>
      </c>
      <c r="Z131" s="46">
        <v>0</v>
      </c>
      <c r="AA131" s="68">
        <v>131</v>
      </c>
      <c r="AB131" s="68"/>
      <c r="AC131" s="69"/>
      <c r="AD131" s="83" t="s">
        <v>1898</v>
      </c>
      <c r="AE131" s="83" t="s">
        <v>1969</v>
      </c>
      <c r="AF131" s="83"/>
      <c r="AG131" s="83"/>
      <c r="AH131" s="83"/>
      <c r="AI131" s="83" t="s">
        <v>2209</v>
      </c>
      <c r="AJ131" s="92">
        <v>42403.777719907404</v>
      </c>
      <c r="AK131" s="89" t="str">
        <f>HYPERLINK("https://yt3.ggpht.com/ytc/AGIKgqNJRLYpbRxkONpt_giM-P9_TDFPG4lIKMdN6HnRhg=s88-c-k-c0x00ffffff-no-rj")</f>
        <v>https://yt3.ggpht.com/ytc/AGIKgqNJRLYpbRxkONpt_giM-P9_TDFPG4lIKMdN6HnRhg=s88-c-k-c0x00ffffff-no-rj</v>
      </c>
      <c r="AL131" s="83">
        <v>18220</v>
      </c>
      <c r="AM131" s="83">
        <v>0</v>
      </c>
      <c r="AN131" s="83">
        <v>282</v>
      </c>
      <c r="AO131" s="83" t="b">
        <v>0</v>
      </c>
      <c r="AP131" s="83">
        <v>27</v>
      </c>
      <c r="AQ131" s="83"/>
      <c r="AR131" s="83"/>
      <c r="AS131" s="83" t="s">
        <v>2744</v>
      </c>
      <c r="AT131" s="89" t="str">
        <f>HYPERLINK("https://www.youtube.com/channel/UCxnRtqVKFdnzi-p-VaanS6Q")</f>
        <v>https://www.youtube.com/channel/UCxnRtqVKFdnzi-p-VaanS6Q</v>
      </c>
      <c r="AU131" s="83" t="str">
        <f>REPLACE(INDEX(GroupVertices[Group],MATCH(Vertices[[#This Row],[Vertex]],GroupVertices[Vertex],0)),1,1,"")</f>
        <v>10</v>
      </c>
      <c r="AV131" s="45"/>
      <c r="AW131" s="46"/>
      <c r="AX131" s="45"/>
      <c r="AY131" s="46"/>
      <c r="AZ131" s="45"/>
      <c r="BA131" s="46"/>
      <c r="BB131" s="45"/>
      <c r="BC131" s="46"/>
      <c r="BD131" s="45"/>
      <c r="BE131" s="110" t="s">
        <v>1874</v>
      </c>
      <c r="BF131" s="110" t="s">
        <v>1874</v>
      </c>
      <c r="BG131" s="110" t="s">
        <v>1874</v>
      </c>
      <c r="BH131" s="110" t="s">
        <v>1874</v>
      </c>
      <c r="BI131" s="2"/>
    </row>
    <row r="132" spans="1:61" ht="15">
      <c r="A132" s="61" t="s">
        <v>342</v>
      </c>
      <c r="B132" s="62" t="s">
        <v>2894</v>
      </c>
      <c r="C132" s="62"/>
      <c r="D132" s="63">
        <v>100</v>
      </c>
      <c r="E132" s="65">
        <v>50</v>
      </c>
      <c r="F132" s="100" t="str">
        <f>HYPERLINK("https://yt3.ggpht.com/ytc/AGIKgqP5sjjr5qrhxGfHVZKzrMxca95GGsn5uI-RvcMb=s88-c-k-c0x00ffffff-no-rj")</f>
        <v>https://yt3.ggpht.com/ytc/AGIKgqP5sjjr5qrhxGfHVZKzrMxca95GGsn5uI-RvcMb=s88-c-k-c0x00ffffff-no-rj</v>
      </c>
      <c r="G132" s="62"/>
      <c r="H132" s="66" t="s">
        <v>1180</v>
      </c>
      <c r="I132" s="67"/>
      <c r="J132" s="67" t="s">
        <v>159</v>
      </c>
      <c r="K132" s="66" t="s">
        <v>1180</v>
      </c>
      <c r="L132" s="70"/>
      <c r="M132" s="71">
        <v>7215.03662109375</v>
      </c>
      <c r="N132" s="71">
        <v>6547.80078125</v>
      </c>
      <c r="O132" s="72"/>
      <c r="P132" s="73"/>
      <c r="Q132" s="73"/>
      <c r="R132" s="94"/>
      <c r="S132" s="45">
        <v>0</v>
      </c>
      <c r="T132" s="45">
        <v>2</v>
      </c>
      <c r="U132" s="46">
        <v>48</v>
      </c>
      <c r="V132" s="46">
        <v>0.017821</v>
      </c>
      <c r="W132" s="46">
        <v>0</v>
      </c>
      <c r="X132" s="46">
        <v>0.002201</v>
      </c>
      <c r="Y132" s="46">
        <v>0</v>
      </c>
      <c r="Z132" s="46">
        <v>0</v>
      </c>
      <c r="AA132" s="68">
        <v>132</v>
      </c>
      <c r="AB132" s="68"/>
      <c r="AC132" s="69"/>
      <c r="AD132" s="83" t="s">
        <v>1180</v>
      </c>
      <c r="AE132" s="83" t="s">
        <v>1970</v>
      </c>
      <c r="AF132" s="83"/>
      <c r="AG132" s="83"/>
      <c r="AH132" s="83"/>
      <c r="AI132" s="83" t="s">
        <v>2210</v>
      </c>
      <c r="AJ132" s="92">
        <v>39002.07542824074</v>
      </c>
      <c r="AK132" s="89" t="str">
        <f>HYPERLINK("https://yt3.ggpht.com/ytc/AGIKgqP5sjjr5qrhxGfHVZKzrMxca95GGsn5uI-RvcMb=s88-c-k-c0x00ffffff-no-rj")</f>
        <v>https://yt3.ggpht.com/ytc/AGIKgqP5sjjr5qrhxGfHVZKzrMxca95GGsn5uI-RvcMb=s88-c-k-c0x00ffffff-no-rj</v>
      </c>
      <c r="AL132" s="83">
        <v>141359</v>
      </c>
      <c r="AM132" s="83">
        <v>0</v>
      </c>
      <c r="AN132" s="83">
        <v>326</v>
      </c>
      <c r="AO132" s="83" t="b">
        <v>0</v>
      </c>
      <c r="AP132" s="83">
        <v>60</v>
      </c>
      <c r="AQ132" s="83"/>
      <c r="AR132" s="83"/>
      <c r="AS132" s="83" t="s">
        <v>2744</v>
      </c>
      <c r="AT132" s="89" t="str">
        <f>HYPERLINK("https://www.youtube.com/channel/UC_Bmf2zjM0c1R2accRinFtQ")</f>
        <v>https://www.youtube.com/channel/UC_Bmf2zjM0c1R2accRinFtQ</v>
      </c>
      <c r="AU132" s="83" t="str">
        <f>REPLACE(INDEX(GroupVertices[Group],MATCH(Vertices[[#This Row],[Vertex]],GroupVertices[Vertex],0)),1,1,"")</f>
        <v>10</v>
      </c>
      <c r="AV132" s="45"/>
      <c r="AW132" s="46"/>
      <c r="AX132" s="45"/>
      <c r="AY132" s="46"/>
      <c r="AZ132" s="45"/>
      <c r="BA132" s="46"/>
      <c r="BB132" s="45"/>
      <c r="BC132" s="46"/>
      <c r="BD132" s="45"/>
      <c r="BE132" s="110" t="s">
        <v>1874</v>
      </c>
      <c r="BF132" s="110" t="s">
        <v>1874</v>
      </c>
      <c r="BG132" s="110" t="s">
        <v>1874</v>
      </c>
      <c r="BH132" s="110" t="s">
        <v>1874</v>
      </c>
      <c r="BI132" s="2"/>
    </row>
    <row r="133" spans="1:61" ht="15">
      <c r="A133" s="61" t="s">
        <v>343</v>
      </c>
      <c r="B133" s="62" t="s">
        <v>2893</v>
      </c>
      <c r="C133" s="62"/>
      <c r="D133" s="63">
        <v>100</v>
      </c>
      <c r="E133" s="65">
        <v>50</v>
      </c>
      <c r="F133" s="100" t="str">
        <f>HYPERLINK("https://yt3.ggpht.com/ytc/AGIKgqPXZkrjIgM6esmLRvBK6aFUo-rGE6A9kKclmoN4e3XrKMAIqFLdM7ALlJo4X9yj=s88-c-k-c0x00ffffff-no-rj")</f>
        <v>https://yt3.ggpht.com/ytc/AGIKgqPXZkrjIgM6esmLRvBK6aFUo-rGE6A9kKclmoN4e3XrKMAIqFLdM7ALlJo4X9yj=s88-c-k-c0x00ffffff-no-rj</v>
      </c>
      <c r="G133" s="62"/>
      <c r="H133" s="66" t="s">
        <v>1181</v>
      </c>
      <c r="I133" s="67"/>
      <c r="J133" s="67" t="s">
        <v>159</v>
      </c>
      <c r="K133" s="66" t="s">
        <v>1181</v>
      </c>
      <c r="L133" s="70"/>
      <c r="M133" s="71">
        <v>7446.06396484375</v>
      </c>
      <c r="N133" s="71">
        <v>3637.276611328125</v>
      </c>
      <c r="O133" s="72"/>
      <c r="P133" s="73"/>
      <c r="Q133" s="73"/>
      <c r="R133" s="94"/>
      <c r="S133" s="45">
        <v>0</v>
      </c>
      <c r="T133" s="45">
        <v>1</v>
      </c>
      <c r="U133" s="46">
        <v>0</v>
      </c>
      <c r="V133" s="46">
        <v>0.015981</v>
      </c>
      <c r="W133" s="46">
        <v>0</v>
      </c>
      <c r="X133" s="46">
        <v>0.00207</v>
      </c>
      <c r="Y133" s="46">
        <v>0</v>
      </c>
      <c r="Z133" s="46">
        <v>0</v>
      </c>
      <c r="AA133" s="68">
        <v>133</v>
      </c>
      <c r="AB133" s="68"/>
      <c r="AC133" s="69"/>
      <c r="AD133" s="83" t="s">
        <v>1181</v>
      </c>
      <c r="AE133" s="83"/>
      <c r="AF133" s="83"/>
      <c r="AG133" s="83"/>
      <c r="AH133" s="83"/>
      <c r="AI133" s="83" t="s">
        <v>2211</v>
      </c>
      <c r="AJ133" s="83" t="s">
        <v>2580</v>
      </c>
      <c r="AK133" s="89" t="str">
        <f>HYPERLINK("https://yt3.ggpht.com/ytc/AGIKgqPXZkrjIgM6esmLRvBK6aFUo-rGE6A9kKclmoN4e3XrKMAIqFLdM7ALlJo4X9yj=s88-c-k-c0x00ffffff-no-rj")</f>
        <v>https://yt3.ggpht.com/ytc/AGIKgqPXZkrjIgM6esmLRvBK6aFUo-rGE6A9kKclmoN4e3XrKMAIqFLdM7ALlJo4X9yj=s88-c-k-c0x00ffffff-no-rj</v>
      </c>
      <c r="AL133" s="83">
        <v>0</v>
      </c>
      <c r="AM133" s="83">
        <v>0</v>
      </c>
      <c r="AN133" s="83">
        <v>2</v>
      </c>
      <c r="AO133" s="83" t="b">
        <v>0</v>
      </c>
      <c r="AP133" s="83">
        <v>0</v>
      </c>
      <c r="AQ133" s="83"/>
      <c r="AR133" s="83"/>
      <c r="AS133" s="83" t="s">
        <v>2744</v>
      </c>
      <c r="AT133" s="89" t="str">
        <f>HYPERLINK("https://www.youtube.com/channel/UC9RWOfXj3WGymaMynr9mb3Q")</f>
        <v>https://www.youtube.com/channel/UC9RWOfXj3WGymaMynr9mb3Q</v>
      </c>
      <c r="AU133" s="83" t="str">
        <f>REPLACE(INDEX(GroupVertices[Group],MATCH(Vertices[[#This Row],[Vertex]],GroupVertices[Vertex],0)),1,1,"")</f>
        <v>11</v>
      </c>
      <c r="AV133" s="45"/>
      <c r="AW133" s="46"/>
      <c r="AX133" s="45"/>
      <c r="AY133" s="46"/>
      <c r="AZ133" s="45"/>
      <c r="BA133" s="46"/>
      <c r="BB133" s="45"/>
      <c r="BC133" s="46"/>
      <c r="BD133" s="45"/>
      <c r="BE133" s="110" t="s">
        <v>1874</v>
      </c>
      <c r="BF133" s="110" t="s">
        <v>1874</v>
      </c>
      <c r="BG133" s="110" t="s">
        <v>1874</v>
      </c>
      <c r="BH133" s="110" t="s">
        <v>1874</v>
      </c>
      <c r="BI133" s="2"/>
    </row>
    <row r="134" spans="1:61" ht="15">
      <c r="A134" s="61" t="s">
        <v>344</v>
      </c>
      <c r="B134" s="62" t="s">
        <v>2893</v>
      </c>
      <c r="C134" s="62"/>
      <c r="D134" s="63">
        <v>100</v>
      </c>
      <c r="E134" s="65">
        <v>50</v>
      </c>
      <c r="F134" s="100" t="str">
        <f>HYPERLINK("https://yt3.ggpht.com/8OQq0k2qGCeA4npVE-48Fibvz0rG687XgI_65TglWWJNfZWNg4LG2ZtEHta6RRJh1gVNZFNqow=s88-c-k-c0x00ffffff-no-rj")</f>
        <v>https://yt3.ggpht.com/8OQq0k2qGCeA4npVE-48Fibvz0rG687XgI_65TglWWJNfZWNg4LG2ZtEHta6RRJh1gVNZFNqow=s88-c-k-c0x00ffffff-no-rj</v>
      </c>
      <c r="G134" s="62"/>
      <c r="H134" s="66" t="s">
        <v>1182</v>
      </c>
      <c r="I134" s="67"/>
      <c r="J134" s="67" t="s">
        <v>159</v>
      </c>
      <c r="K134" s="66" t="s">
        <v>1182</v>
      </c>
      <c r="L134" s="70"/>
      <c r="M134" s="71">
        <v>7180.1328125</v>
      </c>
      <c r="N134" s="71">
        <v>3637.276611328125</v>
      </c>
      <c r="O134" s="72"/>
      <c r="P134" s="73"/>
      <c r="Q134" s="73"/>
      <c r="R134" s="94"/>
      <c r="S134" s="45">
        <v>0</v>
      </c>
      <c r="T134" s="45">
        <v>1</v>
      </c>
      <c r="U134" s="46">
        <v>0</v>
      </c>
      <c r="V134" s="46">
        <v>0.015981</v>
      </c>
      <c r="W134" s="46">
        <v>0</v>
      </c>
      <c r="X134" s="46">
        <v>0.00207</v>
      </c>
      <c r="Y134" s="46">
        <v>0</v>
      </c>
      <c r="Z134" s="46">
        <v>0</v>
      </c>
      <c r="AA134" s="68">
        <v>134</v>
      </c>
      <c r="AB134" s="68"/>
      <c r="AC134" s="69"/>
      <c r="AD134" s="83" t="s">
        <v>1182</v>
      </c>
      <c r="AE134" s="83" t="s">
        <v>1971</v>
      </c>
      <c r="AF134" s="83"/>
      <c r="AG134" s="83"/>
      <c r="AH134" s="83"/>
      <c r="AI134" s="83" t="s">
        <v>2212</v>
      </c>
      <c r="AJ134" s="92">
        <v>41123.66756944444</v>
      </c>
      <c r="AK134" s="89" t="str">
        <f>HYPERLINK("https://yt3.ggpht.com/8OQq0k2qGCeA4npVE-48Fibvz0rG687XgI_65TglWWJNfZWNg4LG2ZtEHta6RRJh1gVNZFNqow=s88-c-k-c0x00ffffff-no-rj")</f>
        <v>https://yt3.ggpht.com/8OQq0k2qGCeA4npVE-48Fibvz0rG687XgI_65TglWWJNfZWNg4LG2ZtEHta6RRJh1gVNZFNqow=s88-c-k-c0x00ffffff-no-rj</v>
      </c>
      <c r="AL134" s="83">
        <v>302</v>
      </c>
      <c r="AM134" s="83">
        <v>0</v>
      </c>
      <c r="AN134" s="83">
        <v>1</v>
      </c>
      <c r="AO134" s="83" t="b">
        <v>0</v>
      </c>
      <c r="AP134" s="83">
        <v>1</v>
      </c>
      <c r="AQ134" s="83"/>
      <c r="AR134" s="83"/>
      <c r="AS134" s="83" t="s">
        <v>2744</v>
      </c>
      <c r="AT134" s="89" t="str">
        <f>HYPERLINK("https://www.youtube.com/channel/UC0mxCsjF8pf3tsiTC6lMdng")</f>
        <v>https://www.youtube.com/channel/UC0mxCsjF8pf3tsiTC6lMdng</v>
      </c>
      <c r="AU134" s="83" t="str">
        <f>REPLACE(INDEX(GroupVertices[Group],MATCH(Vertices[[#This Row],[Vertex]],GroupVertices[Vertex],0)),1,1,"")</f>
        <v>11</v>
      </c>
      <c r="AV134" s="45"/>
      <c r="AW134" s="46"/>
      <c r="AX134" s="45"/>
      <c r="AY134" s="46"/>
      <c r="AZ134" s="45"/>
      <c r="BA134" s="46"/>
      <c r="BB134" s="45"/>
      <c r="BC134" s="46"/>
      <c r="BD134" s="45"/>
      <c r="BE134" s="110" t="s">
        <v>1874</v>
      </c>
      <c r="BF134" s="110" t="s">
        <v>1874</v>
      </c>
      <c r="BG134" s="110" t="s">
        <v>1874</v>
      </c>
      <c r="BH134" s="110" t="s">
        <v>1874</v>
      </c>
      <c r="BI134" s="2"/>
    </row>
    <row r="135" spans="1:61" ht="15">
      <c r="A135" s="61" t="s">
        <v>345</v>
      </c>
      <c r="B135" s="62" t="s">
        <v>2893</v>
      </c>
      <c r="C135" s="62"/>
      <c r="D135" s="63">
        <v>100</v>
      </c>
      <c r="E135" s="65">
        <v>50</v>
      </c>
      <c r="F135" s="100" t="str">
        <f>HYPERLINK("https://yt3.ggpht.com/ytc/AGIKgqNUJPOPI8cIpxdGNpZwTQG1ieTfDVIm1lxs7LM4=s88-c-k-c0x00ffffff-no-rj")</f>
        <v>https://yt3.ggpht.com/ytc/AGIKgqNUJPOPI8cIpxdGNpZwTQG1ieTfDVIm1lxs7LM4=s88-c-k-c0x00ffffff-no-rj</v>
      </c>
      <c r="G135" s="62"/>
      <c r="H135" s="66" t="s">
        <v>1183</v>
      </c>
      <c r="I135" s="67"/>
      <c r="J135" s="67" t="s">
        <v>159</v>
      </c>
      <c r="K135" s="66" t="s">
        <v>1183</v>
      </c>
      <c r="L135" s="70"/>
      <c r="M135" s="71">
        <v>7977.92529296875</v>
      </c>
      <c r="N135" s="71">
        <v>4227.10546875</v>
      </c>
      <c r="O135" s="72"/>
      <c r="P135" s="73"/>
      <c r="Q135" s="73"/>
      <c r="R135" s="94"/>
      <c r="S135" s="45">
        <v>0</v>
      </c>
      <c r="T135" s="45">
        <v>1</v>
      </c>
      <c r="U135" s="46">
        <v>0</v>
      </c>
      <c r="V135" s="46">
        <v>0.015981</v>
      </c>
      <c r="W135" s="46">
        <v>0</v>
      </c>
      <c r="X135" s="46">
        <v>0.00207</v>
      </c>
      <c r="Y135" s="46">
        <v>0</v>
      </c>
      <c r="Z135" s="46">
        <v>0</v>
      </c>
      <c r="AA135" s="68">
        <v>135</v>
      </c>
      <c r="AB135" s="68"/>
      <c r="AC135" s="69"/>
      <c r="AD135" s="83" t="s">
        <v>1183</v>
      </c>
      <c r="AE135" s="83"/>
      <c r="AF135" s="83"/>
      <c r="AG135" s="83"/>
      <c r="AH135" s="83"/>
      <c r="AI135" s="83" t="s">
        <v>2213</v>
      </c>
      <c r="AJ135" s="83" t="s">
        <v>2581</v>
      </c>
      <c r="AK135" s="89" t="str">
        <f>HYPERLINK("https://yt3.ggpht.com/ytc/AGIKgqNUJPOPI8cIpxdGNpZwTQG1ieTfDVIm1lxs7LM4=s88-c-k-c0x00ffffff-no-rj")</f>
        <v>https://yt3.ggpht.com/ytc/AGIKgqNUJPOPI8cIpxdGNpZwTQG1ieTfDVIm1lxs7LM4=s88-c-k-c0x00ffffff-no-rj</v>
      </c>
      <c r="AL135" s="83">
        <v>0</v>
      </c>
      <c r="AM135" s="83">
        <v>0</v>
      </c>
      <c r="AN135" s="83">
        <v>1</v>
      </c>
      <c r="AO135" s="83" t="b">
        <v>0</v>
      </c>
      <c r="AP135" s="83">
        <v>0</v>
      </c>
      <c r="AQ135" s="83"/>
      <c r="AR135" s="83"/>
      <c r="AS135" s="83" t="s">
        <v>2744</v>
      </c>
      <c r="AT135" s="89" t="str">
        <f>HYPERLINK("https://www.youtube.com/channel/UCg3JP4uITyQZBSRFjWKfrEQ")</f>
        <v>https://www.youtube.com/channel/UCg3JP4uITyQZBSRFjWKfrEQ</v>
      </c>
      <c r="AU135" s="83" t="str">
        <f>REPLACE(INDEX(GroupVertices[Group],MATCH(Vertices[[#This Row],[Vertex]],GroupVertices[Vertex],0)),1,1,"")</f>
        <v>11</v>
      </c>
      <c r="AV135" s="45"/>
      <c r="AW135" s="46"/>
      <c r="AX135" s="45"/>
      <c r="AY135" s="46"/>
      <c r="AZ135" s="45"/>
      <c r="BA135" s="46"/>
      <c r="BB135" s="45"/>
      <c r="BC135" s="46"/>
      <c r="BD135" s="45"/>
      <c r="BE135" s="110" t="s">
        <v>1874</v>
      </c>
      <c r="BF135" s="110" t="s">
        <v>1874</v>
      </c>
      <c r="BG135" s="110" t="s">
        <v>1874</v>
      </c>
      <c r="BH135" s="110" t="s">
        <v>1874</v>
      </c>
      <c r="BI135" s="2"/>
    </row>
    <row r="136" spans="1:61" ht="15">
      <c r="A136" s="61" t="s">
        <v>346</v>
      </c>
      <c r="B136" s="62" t="s">
        <v>2893</v>
      </c>
      <c r="C136" s="62"/>
      <c r="D136" s="63">
        <v>100</v>
      </c>
      <c r="E136" s="65">
        <v>50</v>
      </c>
      <c r="F136" s="100" t="str">
        <f>HYPERLINK("https://yt3.ggpht.com/ytc/AGIKgqOiRIkX9eTNTLT2QW4tZgYBDmhoub8EMD5W5g=s88-c-k-c0x00ffffff-no-rj")</f>
        <v>https://yt3.ggpht.com/ytc/AGIKgqOiRIkX9eTNTLT2QW4tZgYBDmhoub8EMD5W5g=s88-c-k-c0x00ffffff-no-rj</v>
      </c>
      <c r="G136" s="62"/>
      <c r="H136" s="66" t="s">
        <v>1184</v>
      </c>
      <c r="I136" s="67"/>
      <c r="J136" s="67" t="s">
        <v>159</v>
      </c>
      <c r="K136" s="66" t="s">
        <v>1184</v>
      </c>
      <c r="L136" s="70"/>
      <c r="M136" s="71">
        <v>7711.99462890625</v>
      </c>
      <c r="N136" s="71">
        <v>4227.10546875</v>
      </c>
      <c r="O136" s="72"/>
      <c r="P136" s="73"/>
      <c r="Q136" s="73"/>
      <c r="R136" s="94"/>
      <c r="S136" s="45">
        <v>0</v>
      </c>
      <c r="T136" s="45">
        <v>1</v>
      </c>
      <c r="U136" s="46">
        <v>0</v>
      </c>
      <c r="V136" s="46">
        <v>0.015981</v>
      </c>
      <c r="W136" s="46">
        <v>0</v>
      </c>
      <c r="X136" s="46">
        <v>0.00207</v>
      </c>
      <c r="Y136" s="46">
        <v>0</v>
      </c>
      <c r="Z136" s="46">
        <v>0</v>
      </c>
      <c r="AA136" s="68">
        <v>136</v>
      </c>
      <c r="AB136" s="68"/>
      <c r="AC136" s="69"/>
      <c r="AD136" s="83" t="s">
        <v>1184</v>
      </c>
      <c r="AE136" s="83" t="s">
        <v>1972</v>
      </c>
      <c r="AF136" s="83"/>
      <c r="AG136" s="83"/>
      <c r="AH136" s="83"/>
      <c r="AI136" s="83" t="s">
        <v>2214</v>
      </c>
      <c r="AJ136" s="92">
        <v>41030.25869212963</v>
      </c>
      <c r="AK136" s="89" t="str">
        <f>HYPERLINK("https://yt3.ggpht.com/ytc/AGIKgqOiRIkX9eTNTLT2QW4tZgYBDmhoub8EMD5W5g=s88-c-k-c0x00ffffff-no-rj")</f>
        <v>https://yt3.ggpht.com/ytc/AGIKgqOiRIkX9eTNTLT2QW4tZgYBDmhoub8EMD5W5g=s88-c-k-c0x00ffffff-no-rj</v>
      </c>
      <c r="AL136" s="83">
        <v>1358</v>
      </c>
      <c r="AM136" s="83">
        <v>0</v>
      </c>
      <c r="AN136" s="83">
        <v>8</v>
      </c>
      <c r="AO136" s="83" t="b">
        <v>0</v>
      </c>
      <c r="AP136" s="83">
        <v>8</v>
      </c>
      <c r="AQ136" s="83"/>
      <c r="AR136" s="83"/>
      <c r="AS136" s="83" t="s">
        <v>2744</v>
      </c>
      <c r="AT136" s="89" t="str">
        <f>HYPERLINK("https://www.youtube.com/channel/UCwprw78eegW7SNWD9dVPW0Q")</f>
        <v>https://www.youtube.com/channel/UCwprw78eegW7SNWD9dVPW0Q</v>
      </c>
      <c r="AU136" s="83" t="str">
        <f>REPLACE(INDEX(GroupVertices[Group],MATCH(Vertices[[#This Row],[Vertex]],GroupVertices[Vertex],0)),1,1,"")</f>
        <v>11</v>
      </c>
      <c r="AV136" s="45"/>
      <c r="AW136" s="46"/>
      <c r="AX136" s="45"/>
      <c r="AY136" s="46"/>
      <c r="AZ136" s="45"/>
      <c r="BA136" s="46"/>
      <c r="BB136" s="45"/>
      <c r="BC136" s="46"/>
      <c r="BD136" s="45"/>
      <c r="BE136" s="110" t="s">
        <v>1874</v>
      </c>
      <c r="BF136" s="110" t="s">
        <v>1874</v>
      </c>
      <c r="BG136" s="110" t="s">
        <v>1874</v>
      </c>
      <c r="BH136" s="110" t="s">
        <v>1874</v>
      </c>
      <c r="BI136" s="2"/>
    </row>
    <row r="137" spans="1:61" ht="15">
      <c r="A137" s="61" t="s">
        <v>347</v>
      </c>
      <c r="B137" s="62" t="s">
        <v>2893</v>
      </c>
      <c r="C137" s="62"/>
      <c r="D137" s="63">
        <v>100</v>
      </c>
      <c r="E137" s="65">
        <v>50</v>
      </c>
      <c r="F137" s="100" t="str">
        <f>HYPERLINK("https://yt3.ggpht.com/ytc/AGIKgqO1aeSvFyXeHv_87J-fgk2AWRwcwsYChwIECQ=s88-c-k-c0x00ffffff-no-rj")</f>
        <v>https://yt3.ggpht.com/ytc/AGIKgqO1aeSvFyXeHv_87J-fgk2AWRwcwsYChwIECQ=s88-c-k-c0x00ffffff-no-rj</v>
      </c>
      <c r="G137" s="62"/>
      <c r="H137" s="66" t="s">
        <v>1185</v>
      </c>
      <c r="I137" s="67"/>
      <c r="J137" s="67" t="s">
        <v>159</v>
      </c>
      <c r="K137" s="66" t="s">
        <v>1185</v>
      </c>
      <c r="L137" s="70"/>
      <c r="M137" s="71">
        <v>7180.1328125</v>
      </c>
      <c r="N137" s="71">
        <v>4227.10546875</v>
      </c>
      <c r="O137" s="72"/>
      <c r="P137" s="73"/>
      <c r="Q137" s="73"/>
      <c r="R137" s="94"/>
      <c r="S137" s="45">
        <v>0</v>
      </c>
      <c r="T137" s="45">
        <v>1</v>
      </c>
      <c r="U137" s="46">
        <v>0</v>
      </c>
      <c r="V137" s="46">
        <v>0.015981</v>
      </c>
      <c r="W137" s="46">
        <v>0</v>
      </c>
      <c r="X137" s="46">
        <v>0.00207</v>
      </c>
      <c r="Y137" s="46">
        <v>0</v>
      </c>
      <c r="Z137" s="46">
        <v>0</v>
      </c>
      <c r="AA137" s="68">
        <v>137</v>
      </c>
      <c r="AB137" s="68"/>
      <c r="AC137" s="69"/>
      <c r="AD137" s="83" t="s">
        <v>1185</v>
      </c>
      <c r="AE137" s="83" t="s">
        <v>1973</v>
      </c>
      <c r="AF137" s="83"/>
      <c r="AG137" s="83"/>
      <c r="AH137" s="83"/>
      <c r="AI137" s="83" t="s">
        <v>2215</v>
      </c>
      <c r="AJ137" s="83" t="s">
        <v>2582</v>
      </c>
      <c r="AK137" s="89" t="str">
        <f>HYPERLINK("https://yt3.ggpht.com/ytc/AGIKgqO1aeSvFyXeHv_87J-fgk2AWRwcwsYChwIECQ=s88-c-k-c0x00ffffff-no-rj")</f>
        <v>https://yt3.ggpht.com/ytc/AGIKgqO1aeSvFyXeHv_87J-fgk2AWRwcwsYChwIECQ=s88-c-k-c0x00ffffff-no-rj</v>
      </c>
      <c r="AL137" s="83">
        <v>7247</v>
      </c>
      <c r="AM137" s="83">
        <v>0</v>
      </c>
      <c r="AN137" s="83">
        <v>23</v>
      </c>
      <c r="AO137" s="83" t="b">
        <v>0</v>
      </c>
      <c r="AP137" s="83">
        <v>1</v>
      </c>
      <c r="AQ137" s="83"/>
      <c r="AR137" s="83"/>
      <c r="AS137" s="83" t="s">
        <v>2744</v>
      </c>
      <c r="AT137" s="89" t="str">
        <f>HYPERLINK("https://www.youtube.com/channel/UCdhRwatBmjUKAkV_szyimFA")</f>
        <v>https://www.youtube.com/channel/UCdhRwatBmjUKAkV_szyimFA</v>
      </c>
      <c r="AU137" s="83" t="str">
        <f>REPLACE(INDEX(GroupVertices[Group],MATCH(Vertices[[#This Row],[Vertex]],GroupVertices[Vertex],0)),1,1,"")</f>
        <v>11</v>
      </c>
      <c r="AV137" s="45"/>
      <c r="AW137" s="46"/>
      <c r="AX137" s="45"/>
      <c r="AY137" s="46"/>
      <c r="AZ137" s="45"/>
      <c r="BA137" s="46"/>
      <c r="BB137" s="45"/>
      <c r="BC137" s="46"/>
      <c r="BD137" s="45"/>
      <c r="BE137" s="110" t="s">
        <v>1874</v>
      </c>
      <c r="BF137" s="110" t="s">
        <v>1874</v>
      </c>
      <c r="BG137" s="110" t="s">
        <v>1874</v>
      </c>
      <c r="BH137" s="110" t="s">
        <v>1874</v>
      </c>
      <c r="BI137" s="2"/>
    </row>
    <row r="138" spans="1:61" ht="15">
      <c r="A138" s="61" t="s">
        <v>348</v>
      </c>
      <c r="B138" s="62" t="s">
        <v>2893</v>
      </c>
      <c r="C138" s="62"/>
      <c r="D138" s="63">
        <v>100</v>
      </c>
      <c r="E138" s="65">
        <v>50</v>
      </c>
      <c r="F138" s="100" t="str">
        <f>HYPERLINK("https://yt3.ggpht.com/I1J-JDtcCtnwXSUUQhmLjM4ITxkmAOhKvqtyUugn-di9bRxOaEA_YPZO2iA8IbY3eGKWEz7JJg=s88-c-k-c0x00ffffff-no-rj")</f>
        <v>https://yt3.ggpht.com/I1J-JDtcCtnwXSUUQhmLjM4ITxkmAOhKvqtyUugn-di9bRxOaEA_YPZO2iA8IbY3eGKWEz7JJg=s88-c-k-c0x00ffffff-no-rj</v>
      </c>
      <c r="G138" s="62"/>
      <c r="H138" s="66" t="s">
        <v>1186</v>
      </c>
      <c r="I138" s="67"/>
      <c r="J138" s="67" t="s">
        <v>159</v>
      </c>
      <c r="K138" s="66" t="s">
        <v>1186</v>
      </c>
      <c r="L138" s="70"/>
      <c r="M138" s="71">
        <v>7446.06396484375</v>
      </c>
      <c r="N138" s="71">
        <v>1081.3525390625</v>
      </c>
      <c r="O138" s="72"/>
      <c r="P138" s="73"/>
      <c r="Q138" s="73"/>
      <c r="R138" s="94"/>
      <c r="S138" s="45">
        <v>0</v>
      </c>
      <c r="T138" s="45">
        <v>1</v>
      </c>
      <c r="U138" s="46">
        <v>0</v>
      </c>
      <c r="V138" s="46">
        <v>0.011264</v>
      </c>
      <c r="W138" s="46">
        <v>0</v>
      </c>
      <c r="X138" s="46">
        <v>0.002078</v>
      </c>
      <c r="Y138" s="46">
        <v>0</v>
      </c>
      <c r="Z138" s="46">
        <v>0</v>
      </c>
      <c r="AA138" s="68">
        <v>138</v>
      </c>
      <c r="AB138" s="68"/>
      <c r="AC138" s="69"/>
      <c r="AD138" s="83" t="s">
        <v>1186</v>
      </c>
      <c r="AE138" s="83"/>
      <c r="AF138" s="83"/>
      <c r="AG138" s="83"/>
      <c r="AH138" s="83"/>
      <c r="AI138" s="83" t="s">
        <v>2216</v>
      </c>
      <c r="AJ138" s="92">
        <v>44844.840208333335</v>
      </c>
      <c r="AK138" s="89" t="str">
        <f>HYPERLINK("https://yt3.ggpht.com/I1J-JDtcCtnwXSUUQhmLjM4ITxkmAOhKvqtyUugn-di9bRxOaEA_YPZO2iA8IbY3eGKWEz7JJg=s88-c-k-c0x00ffffff-no-rj")</f>
        <v>https://yt3.ggpht.com/I1J-JDtcCtnwXSUUQhmLjM4ITxkmAOhKvqtyUugn-di9bRxOaEA_YPZO2iA8IbY3eGKWEz7JJg=s88-c-k-c0x00ffffff-no-rj</v>
      </c>
      <c r="AL138" s="83">
        <v>0</v>
      </c>
      <c r="AM138" s="83">
        <v>0</v>
      </c>
      <c r="AN138" s="83">
        <v>0</v>
      </c>
      <c r="AO138" s="83" t="b">
        <v>0</v>
      </c>
      <c r="AP138" s="83">
        <v>0</v>
      </c>
      <c r="AQ138" s="83"/>
      <c r="AR138" s="83"/>
      <c r="AS138" s="83" t="s">
        <v>2744</v>
      </c>
      <c r="AT138" s="89" t="str">
        <f>HYPERLINK("https://www.youtube.com/channel/UCFexwVcT-E1erdHRBETAccQ")</f>
        <v>https://www.youtube.com/channel/UCFexwVcT-E1erdHRBETAccQ</v>
      </c>
      <c r="AU138" s="83" t="str">
        <f>REPLACE(INDEX(GroupVertices[Group],MATCH(Vertices[[#This Row],[Vertex]],GroupVertices[Vertex],0)),1,1,"")</f>
        <v>12</v>
      </c>
      <c r="AV138" s="45"/>
      <c r="AW138" s="46"/>
      <c r="AX138" s="45"/>
      <c r="AY138" s="46"/>
      <c r="AZ138" s="45"/>
      <c r="BA138" s="46"/>
      <c r="BB138" s="45"/>
      <c r="BC138" s="46"/>
      <c r="BD138" s="45"/>
      <c r="BE138" s="110" t="s">
        <v>1874</v>
      </c>
      <c r="BF138" s="110" t="s">
        <v>1874</v>
      </c>
      <c r="BG138" s="110" t="s">
        <v>1874</v>
      </c>
      <c r="BH138" s="110" t="s">
        <v>1874</v>
      </c>
      <c r="BI138" s="2"/>
    </row>
    <row r="139" spans="1:61" ht="15">
      <c r="A139" s="61" t="s">
        <v>349</v>
      </c>
      <c r="B139" s="62" t="s">
        <v>2893</v>
      </c>
      <c r="C139" s="62"/>
      <c r="D139" s="63">
        <v>100</v>
      </c>
      <c r="E139" s="65">
        <v>50</v>
      </c>
      <c r="F139" s="100" t="str">
        <f>HYPERLINK("https://yt3.ggpht.com/zlScJRYZPqetAIm4xF_cvBMXm2tjB0OUF_yqrw-Mi0Qqrlx6dwEIocsvWSoh_Qt9V5E4eEdq=s88-c-k-c0x00ffffff-no-rj")</f>
        <v>https://yt3.ggpht.com/zlScJRYZPqetAIm4xF_cvBMXm2tjB0OUF_yqrw-Mi0Qqrlx6dwEIocsvWSoh_Qt9V5E4eEdq=s88-c-k-c0x00ffffff-no-rj</v>
      </c>
      <c r="G139" s="62"/>
      <c r="H139" s="66" t="s">
        <v>1187</v>
      </c>
      <c r="I139" s="67"/>
      <c r="J139" s="67" t="s">
        <v>159</v>
      </c>
      <c r="K139" s="66" t="s">
        <v>1187</v>
      </c>
      <c r="L139" s="70"/>
      <c r="M139" s="71">
        <v>7180.1328125</v>
      </c>
      <c r="N139" s="71">
        <v>1081.3525390625</v>
      </c>
      <c r="O139" s="72"/>
      <c r="P139" s="73"/>
      <c r="Q139" s="73"/>
      <c r="R139" s="94"/>
      <c r="S139" s="45">
        <v>0</v>
      </c>
      <c r="T139" s="45">
        <v>1</v>
      </c>
      <c r="U139" s="46">
        <v>0</v>
      </c>
      <c r="V139" s="46">
        <v>0.011264</v>
      </c>
      <c r="W139" s="46">
        <v>0</v>
      </c>
      <c r="X139" s="46">
        <v>0.002078</v>
      </c>
      <c r="Y139" s="46">
        <v>0</v>
      </c>
      <c r="Z139" s="46">
        <v>0</v>
      </c>
      <c r="AA139" s="68">
        <v>139</v>
      </c>
      <c r="AB139" s="68"/>
      <c r="AC139" s="69"/>
      <c r="AD139" s="83" t="s">
        <v>1187</v>
      </c>
      <c r="AE139" s="83" t="s">
        <v>1974</v>
      </c>
      <c r="AF139" s="83"/>
      <c r="AG139" s="83"/>
      <c r="AH139" s="83"/>
      <c r="AI139" s="83" t="s">
        <v>2217</v>
      </c>
      <c r="AJ139" s="92">
        <v>42042.53061342592</v>
      </c>
      <c r="AK139" s="89" t="str">
        <f>HYPERLINK("https://yt3.ggpht.com/zlScJRYZPqetAIm4xF_cvBMXm2tjB0OUF_yqrw-Mi0Qqrlx6dwEIocsvWSoh_Qt9V5E4eEdq=s88-c-k-c0x00ffffff-no-rj")</f>
        <v>https://yt3.ggpht.com/zlScJRYZPqetAIm4xF_cvBMXm2tjB0OUF_yqrw-Mi0Qqrlx6dwEIocsvWSoh_Qt9V5E4eEdq=s88-c-k-c0x00ffffff-no-rj</v>
      </c>
      <c r="AL139" s="83">
        <v>0</v>
      </c>
      <c r="AM139" s="83">
        <v>0</v>
      </c>
      <c r="AN139" s="83">
        <v>62</v>
      </c>
      <c r="AO139" s="83" t="b">
        <v>0</v>
      </c>
      <c r="AP139" s="83">
        <v>0</v>
      </c>
      <c r="AQ139" s="83"/>
      <c r="AR139" s="83"/>
      <c r="AS139" s="83" t="s">
        <v>2744</v>
      </c>
      <c r="AT139" s="89" t="str">
        <f>HYPERLINK("https://www.youtube.com/channel/UCfBkohNd5NTAvR-tXjceIbg")</f>
        <v>https://www.youtube.com/channel/UCfBkohNd5NTAvR-tXjceIbg</v>
      </c>
      <c r="AU139" s="83" t="str">
        <f>REPLACE(INDEX(GroupVertices[Group],MATCH(Vertices[[#This Row],[Vertex]],GroupVertices[Vertex],0)),1,1,"")</f>
        <v>12</v>
      </c>
      <c r="AV139" s="45"/>
      <c r="AW139" s="46"/>
      <c r="AX139" s="45"/>
      <c r="AY139" s="46"/>
      <c r="AZ139" s="45"/>
      <c r="BA139" s="46"/>
      <c r="BB139" s="45"/>
      <c r="BC139" s="46"/>
      <c r="BD139" s="45"/>
      <c r="BE139" s="110" t="s">
        <v>1874</v>
      </c>
      <c r="BF139" s="110" t="s">
        <v>1874</v>
      </c>
      <c r="BG139" s="110" t="s">
        <v>1874</v>
      </c>
      <c r="BH139" s="110" t="s">
        <v>1874</v>
      </c>
      <c r="BI139" s="2"/>
    </row>
    <row r="140" spans="1:61" ht="15">
      <c r="A140" s="61" t="s">
        <v>350</v>
      </c>
      <c r="B140" s="62" t="s">
        <v>2893</v>
      </c>
      <c r="C140" s="62"/>
      <c r="D140" s="63">
        <v>100</v>
      </c>
      <c r="E140" s="65">
        <v>50</v>
      </c>
      <c r="F140" s="100" t="str">
        <f>HYPERLINK("https://yt3.ggpht.com/ytc/AGIKgqNYRk4gu5A9evERVR5W1J_6y2OV6o1Cbwhijw=s88-c-k-c0x00ffffff-no-rj")</f>
        <v>https://yt3.ggpht.com/ytc/AGIKgqNYRk4gu5A9evERVR5W1J_6y2OV6o1Cbwhijw=s88-c-k-c0x00ffffff-no-rj</v>
      </c>
      <c r="G140" s="62"/>
      <c r="H140" s="66" t="s">
        <v>1188</v>
      </c>
      <c r="I140" s="67"/>
      <c r="J140" s="67" t="s">
        <v>159</v>
      </c>
      <c r="K140" s="66" t="s">
        <v>1188</v>
      </c>
      <c r="L140" s="70"/>
      <c r="M140" s="71">
        <v>9517</v>
      </c>
      <c r="N140" s="71">
        <v>2204.835693359375</v>
      </c>
      <c r="O140" s="72"/>
      <c r="P140" s="73"/>
      <c r="Q140" s="73"/>
      <c r="R140" s="94"/>
      <c r="S140" s="45">
        <v>0</v>
      </c>
      <c r="T140" s="45">
        <v>1</v>
      </c>
      <c r="U140" s="46">
        <v>0</v>
      </c>
      <c r="V140" s="46">
        <v>0.003152</v>
      </c>
      <c r="W140" s="46">
        <v>0</v>
      </c>
      <c r="X140" s="46">
        <v>0.002144</v>
      </c>
      <c r="Y140" s="46">
        <v>0</v>
      </c>
      <c r="Z140" s="46">
        <v>0</v>
      </c>
      <c r="AA140" s="68">
        <v>140</v>
      </c>
      <c r="AB140" s="68"/>
      <c r="AC140" s="69"/>
      <c r="AD140" s="83" t="s">
        <v>1188</v>
      </c>
      <c r="AE140" s="83"/>
      <c r="AF140" s="83"/>
      <c r="AG140" s="83"/>
      <c r="AH140" s="83"/>
      <c r="AI140" s="83" t="s">
        <v>2218</v>
      </c>
      <c r="AJ140" s="92">
        <v>38998.01222222222</v>
      </c>
      <c r="AK140" s="89" t="str">
        <f>HYPERLINK("https://yt3.ggpht.com/ytc/AGIKgqNYRk4gu5A9evERVR5W1J_6y2OV6o1Cbwhijw=s88-c-k-c0x00ffffff-no-rj")</f>
        <v>https://yt3.ggpht.com/ytc/AGIKgqNYRk4gu5A9evERVR5W1J_6y2OV6o1Cbwhijw=s88-c-k-c0x00ffffff-no-rj</v>
      </c>
      <c r="AL140" s="83">
        <v>0</v>
      </c>
      <c r="AM140" s="83">
        <v>0</v>
      </c>
      <c r="AN140" s="83">
        <v>2</v>
      </c>
      <c r="AO140" s="83" t="b">
        <v>0</v>
      </c>
      <c r="AP140" s="83">
        <v>0</v>
      </c>
      <c r="AQ140" s="83"/>
      <c r="AR140" s="83"/>
      <c r="AS140" s="83" t="s">
        <v>2744</v>
      </c>
      <c r="AT140" s="89" t="str">
        <f>HYPERLINK("https://www.youtube.com/channel/UCj4xHrv65XTxE78cv-J4l_w")</f>
        <v>https://www.youtube.com/channel/UCj4xHrv65XTxE78cv-J4l_w</v>
      </c>
      <c r="AU140" s="83" t="str">
        <f>REPLACE(INDEX(GroupVertices[Group],MATCH(Vertices[[#This Row],[Vertex]],GroupVertices[Vertex],0)),1,1,"")</f>
        <v>16</v>
      </c>
      <c r="AV140" s="45"/>
      <c r="AW140" s="46"/>
      <c r="AX140" s="45"/>
      <c r="AY140" s="46"/>
      <c r="AZ140" s="45"/>
      <c r="BA140" s="46"/>
      <c r="BB140" s="45"/>
      <c r="BC140" s="46"/>
      <c r="BD140" s="45"/>
      <c r="BE140" s="110" t="s">
        <v>1874</v>
      </c>
      <c r="BF140" s="110" t="s">
        <v>1874</v>
      </c>
      <c r="BG140" s="110" t="s">
        <v>1874</v>
      </c>
      <c r="BH140" s="110" t="s">
        <v>1874</v>
      </c>
      <c r="BI140" s="2"/>
    </row>
    <row r="141" spans="1:61" ht="15">
      <c r="A141" s="61" t="s">
        <v>644</v>
      </c>
      <c r="B141" s="62" t="s">
        <v>2893</v>
      </c>
      <c r="C141" s="62"/>
      <c r="D141" s="63">
        <v>126.73267326732673</v>
      </c>
      <c r="E141" s="65">
        <v>68.75</v>
      </c>
      <c r="F141" s="100" t="str">
        <f>HYPERLINK("https://yt3.ggpht.com/U5a7ljKPwb_0ffFrXvAnpD1g7vNh3AWbGWBSpeeA4sa9HggpglcfMdrJjYUg8jeUDzdMw_XS=s88-c-k-c0x00ffffff-no-rj")</f>
        <v>https://yt3.ggpht.com/U5a7ljKPwb_0ffFrXvAnpD1g7vNh3AWbGWBSpeeA4sa9HggpglcfMdrJjYUg8jeUDzdMw_XS=s88-c-k-c0x00ffffff-no-rj</v>
      </c>
      <c r="G141" s="62"/>
      <c r="H141" s="66" t="s">
        <v>1899</v>
      </c>
      <c r="I141" s="67"/>
      <c r="J141" s="67" t="s">
        <v>159</v>
      </c>
      <c r="K141" s="66" t="s">
        <v>1899</v>
      </c>
      <c r="L141" s="70"/>
      <c r="M141" s="71">
        <v>9749.6904296875</v>
      </c>
      <c r="N141" s="71">
        <v>2626.141845703125</v>
      </c>
      <c r="O141" s="72"/>
      <c r="P141" s="73"/>
      <c r="Q141" s="73"/>
      <c r="R141" s="94"/>
      <c r="S141" s="45">
        <v>3</v>
      </c>
      <c r="T141" s="45">
        <v>1</v>
      </c>
      <c r="U141" s="46">
        <v>2</v>
      </c>
      <c r="V141" s="46">
        <v>0.004728</v>
      </c>
      <c r="W141" s="46">
        <v>0</v>
      </c>
      <c r="X141" s="46">
        <v>0.002787</v>
      </c>
      <c r="Y141" s="46">
        <v>0</v>
      </c>
      <c r="Z141" s="46">
        <v>0</v>
      </c>
      <c r="AA141" s="68">
        <v>141</v>
      </c>
      <c r="AB141" s="68"/>
      <c r="AC141" s="69"/>
      <c r="AD141" s="83" t="s">
        <v>1899</v>
      </c>
      <c r="AE141" s="83" t="s">
        <v>1975</v>
      </c>
      <c r="AF141" s="83"/>
      <c r="AG141" s="83"/>
      <c r="AH141" s="83"/>
      <c r="AI141" s="83" t="s">
        <v>2219</v>
      </c>
      <c r="AJ141" s="83" t="s">
        <v>2583</v>
      </c>
      <c r="AK141" s="89" t="str">
        <f>HYPERLINK("https://yt3.ggpht.com/U5a7ljKPwb_0ffFrXvAnpD1g7vNh3AWbGWBSpeeA4sa9HggpglcfMdrJjYUg8jeUDzdMw_XS=s88-c-k-c0x00ffffff-no-rj")</f>
        <v>https://yt3.ggpht.com/U5a7ljKPwb_0ffFrXvAnpD1g7vNh3AWbGWBSpeeA4sa9HggpglcfMdrJjYUg8jeUDzdMw_XS=s88-c-k-c0x00ffffff-no-rj</v>
      </c>
      <c r="AL141" s="83">
        <v>189573</v>
      </c>
      <c r="AM141" s="83">
        <v>0</v>
      </c>
      <c r="AN141" s="83">
        <v>1100</v>
      </c>
      <c r="AO141" s="83" t="b">
        <v>0</v>
      </c>
      <c r="AP141" s="83">
        <v>183</v>
      </c>
      <c r="AQ141" s="83"/>
      <c r="AR141" s="83"/>
      <c r="AS141" s="83" t="s">
        <v>2744</v>
      </c>
      <c r="AT141" s="89" t="str">
        <f>HYPERLINK("https://www.youtube.com/channel/UCDR2gVFmKy9xRU09ibm5S0A")</f>
        <v>https://www.youtube.com/channel/UCDR2gVFmKy9xRU09ibm5S0A</v>
      </c>
      <c r="AU141" s="83" t="str">
        <f>REPLACE(INDEX(GroupVertices[Group],MATCH(Vertices[[#This Row],[Vertex]],GroupVertices[Vertex],0)),1,1,"")</f>
        <v>16</v>
      </c>
      <c r="AV141" s="45"/>
      <c r="AW141" s="46"/>
      <c r="AX141" s="45"/>
      <c r="AY141" s="46"/>
      <c r="AZ141" s="45"/>
      <c r="BA141" s="46"/>
      <c r="BB141" s="45"/>
      <c r="BC141" s="46"/>
      <c r="BD141" s="45"/>
      <c r="BE141" s="110" t="s">
        <v>1874</v>
      </c>
      <c r="BF141" s="110" t="s">
        <v>1874</v>
      </c>
      <c r="BG141" s="110" t="s">
        <v>1874</v>
      </c>
      <c r="BH141" s="110" t="s">
        <v>1874</v>
      </c>
      <c r="BI141" s="2"/>
    </row>
    <row r="142" spans="1:61" ht="15">
      <c r="A142" s="61" t="s">
        <v>351</v>
      </c>
      <c r="B142" s="62" t="s">
        <v>2893</v>
      </c>
      <c r="C142" s="62"/>
      <c r="D142" s="63">
        <v>100</v>
      </c>
      <c r="E142" s="65">
        <v>50</v>
      </c>
      <c r="F142" s="100" t="str">
        <f>HYPERLINK("https://yt3.ggpht.com/Df3ECrwqE3XJFW26E89Vb5MiwfXKcsZzSVMVxJHHdNx0WjrlORUGuKrFvQJOH_mT6uqOcLSNWA=s88-c-k-c0x00ffffff-no-rj")</f>
        <v>https://yt3.ggpht.com/Df3ECrwqE3XJFW26E89Vb5MiwfXKcsZzSVMVxJHHdNx0WjrlORUGuKrFvQJOH_mT6uqOcLSNWA=s88-c-k-c0x00ffffff-no-rj</v>
      </c>
      <c r="G142" s="62"/>
      <c r="H142" s="66" t="s">
        <v>1189</v>
      </c>
      <c r="I142" s="67"/>
      <c r="J142" s="67" t="s">
        <v>159</v>
      </c>
      <c r="K142" s="66" t="s">
        <v>1189</v>
      </c>
      <c r="L142" s="70"/>
      <c r="M142" s="71">
        <v>9517</v>
      </c>
      <c r="N142" s="71">
        <v>2626.141845703125</v>
      </c>
      <c r="O142" s="72"/>
      <c r="P142" s="73"/>
      <c r="Q142" s="73"/>
      <c r="R142" s="94"/>
      <c r="S142" s="45">
        <v>0</v>
      </c>
      <c r="T142" s="45">
        <v>1</v>
      </c>
      <c r="U142" s="46">
        <v>0</v>
      </c>
      <c r="V142" s="46">
        <v>0.003152</v>
      </c>
      <c r="W142" s="46">
        <v>0</v>
      </c>
      <c r="X142" s="46">
        <v>0.002144</v>
      </c>
      <c r="Y142" s="46">
        <v>0</v>
      </c>
      <c r="Z142" s="46">
        <v>0</v>
      </c>
      <c r="AA142" s="68">
        <v>142</v>
      </c>
      <c r="AB142" s="68"/>
      <c r="AC142" s="69"/>
      <c r="AD142" s="83" t="s">
        <v>1189</v>
      </c>
      <c r="AE142" s="83" t="s">
        <v>1976</v>
      </c>
      <c r="AF142" s="83"/>
      <c r="AG142" s="83"/>
      <c r="AH142" s="83"/>
      <c r="AI142" s="83" t="s">
        <v>2220</v>
      </c>
      <c r="AJ142" s="83" t="s">
        <v>2584</v>
      </c>
      <c r="AK142" s="89" t="str">
        <f>HYPERLINK("https://yt3.ggpht.com/Df3ECrwqE3XJFW26E89Vb5MiwfXKcsZzSVMVxJHHdNx0WjrlORUGuKrFvQJOH_mT6uqOcLSNWA=s88-c-k-c0x00ffffff-no-rj")</f>
        <v>https://yt3.ggpht.com/Df3ECrwqE3XJFW26E89Vb5MiwfXKcsZzSVMVxJHHdNx0WjrlORUGuKrFvQJOH_mT6uqOcLSNWA=s88-c-k-c0x00ffffff-no-rj</v>
      </c>
      <c r="AL142" s="83">
        <v>117</v>
      </c>
      <c r="AM142" s="83">
        <v>0</v>
      </c>
      <c r="AN142" s="83">
        <v>12</v>
      </c>
      <c r="AO142" s="83" t="b">
        <v>0</v>
      </c>
      <c r="AP142" s="83">
        <v>4</v>
      </c>
      <c r="AQ142" s="83"/>
      <c r="AR142" s="83"/>
      <c r="AS142" s="83" t="s">
        <v>2744</v>
      </c>
      <c r="AT142" s="89" t="str">
        <f>HYPERLINK("https://www.youtube.com/channel/UCvLGGqDmzPLsOBI1pfmU3dA")</f>
        <v>https://www.youtube.com/channel/UCvLGGqDmzPLsOBI1pfmU3dA</v>
      </c>
      <c r="AU142" s="83" t="str">
        <f>REPLACE(INDEX(GroupVertices[Group],MATCH(Vertices[[#This Row],[Vertex]],GroupVertices[Vertex],0)),1,1,"")</f>
        <v>16</v>
      </c>
      <c r="AV142" s="45"/>
      <c r="AW142" s="46"/>
      <c r="AX142" s="45"/>
      <c r="AY142" s="46"/>
      <c r="AZ142" s="45"/>
      <c r="BA142" s="46"/>
      <c r="BB142" s="45"/>
      <c r="BC142" s="46"/>
      <c r="BD142" s="45"/>
      <c r="BE142" s="110" t="s">
        <v>1874</v>
      </c>
      <c r="BF142" s="110" t="s">
        <v>1874</v>
      </c>
      <c r="BG142" s="110" t="s">
        <v>1874</v>
      </c>
      <c r="BH142" s="110" t="s">
        <v>1874</v>
      </c>
      <c r="BI142" s="2"/>
    </row>
    <row r="143" spans="1:61" ht="15">
      <c r="A143" s="61" t="s">
        <v>352</v>
      </c>
      <c r="B143" s="62" t="s">
        <v>2893</v>
      </c>
      <c r="C143" s="62"/>
      <c r="D143" s="63">
        <v>100</v>
      </c>
      <c r="E143" s="65">
        <v>50</v>
      </c>
      <c r="F143" s="100" t="str">
        <f>HYPERLINK("https://yt3.ggpht.com/q3rqMVSMYXz5bt_W53aO96OlM1w1kY3LJ5QX6PXE9J0BLo2Dj5RHDFtU1c6Jridw8QhNTcJ-UA=s88-c-k-c0x00ffffff-no-rj")</f>
        <v>https://yt3.ggpht.com/q3rqMVSMYXz5bt_W53aO96OlM1w1kY3LJ5QX6PXE9J0BLo2Dj5RHDFtU1c6Jridw8QhNTcJ-UA=s88-c-k-c0x00ffffff-no-rj</v>
      </c>
      <c r="G143" s="62"/>
      <c r="H143" s="66" t="s">
        <v>1190</v>
      </c>
      <c r="I143" s="67"/>
      <c r="J143" s="67" t="s">
        <v>159</v>
      </c>
      <c r="K143" s="66" t="s">
        <v>1190</v>
      </c>
      <c r="L143" s="70"/>
      <c r="M143" s="71">
        <v>7977.92529296875</v>
      </c>
      <c r="N143" s="71">
        <v>1615.007080078125</v>
      </c>
      <c r="O143" s="72"/>
      <c r="P143" s="73"/>
      <c r="Q143" s="73"/>
      <c r="R143" s="94"/>
      <c r="S143" s="45">
        <v>0</v>
      </c>
      <c r="T143" s="45">
        <v>1</v>
      </c>
      <c r="U143" s="46">
        <v>0</v>
      </c>
      <c r="V143" s="46">
        <v>0.011264</v>
      </c>
      <c r="W143" s="46">
        <v>0</v>
      </c>
      <c r="X143" s="46">
        <v>0.002078</v>
      </c>
      <c r="Y143" s="46">
        <v>0</v>
      </c>
      <c r="Z143" s="46">
        <v>0</v>
      </c>
      <c r="AA143" s="68">
        <v>143</v>
      </c>
      <c r="AB143" s="68"/>
      <c r="AC143" s="69"/>
      <c r="AD143" s="83" t="s">
        <v>1190</v>
      </c>
      <c r="AE143" s="83" t="s">
        <v>1977</v>
      </c>
      <c r="AF143" s="83"/>
      <c r="AG143" s="83"/>
      <c r="AH143" s="83"/>
      <c r="AI143" s="83" t="s">
        <v>2221</v>
      </c>
      <c r="AJ143" s="92">
        <v>43507.60430555556</v>
      </c>
      <c r="AK143" s="89" t="str">
        <f>HYPERLINK("https://yt3.ggpht.com/q3rqMVSMYXz5bt_W53aO96OlM1w1kY3LJ5QX6PXE9J0BLo2Dj5RHDFtU1c6Jridw8QhNTcJ-UA=s88-c-k-c0x00ffffff-no-rj")</f>
        <v>https://yt3.ggpht.com/q3rqMVSMYXz5bt_W53aO96OlM1w1kY3LJ5QX6PXE9J0BLo2Dj5RHDFtU1c6Jridw8QhNTcJ-UA=s88-c-k-c0x00ffffff-no-rj</v>
      </c>
      <c r="AL143" s="83">
        <v>600</v>
      </c>
      <c r="AM143" s="83">
        <v>0</v>
      </c>
      <c r="AN143" s="83">
        <v>25</v>
      </c>
      <c r="AO143" s="83" t="b">
        <v>0</v>
      </c>
      <c r="AP143" s="83">
        <v>25</v>
      </c>
      <c r="AQ143" s="83"/>
      <c r="AR143" s="83"/>
      <c r="AS143" s="83" t="s">
        <v>2744</v>
      </c>
      <c r="AT143" s="89" t="str">
        <f>HYPERLINK("https://www.youtube.com/channel/UCZys9czpXl4i_mQCikGuHbQ")</f>
        <v>https://www.youtube.com/channel/UCZys9czpXl4i_mQCikGuHbQ</v>
      </c>
      <c r="AU143" s="83" t="str">
        <f>REPLACE(INDEX(GroupVertices[Group],MATCH(Vertices[[#This Row],[Vertex]],GroupVertices[Vertex],0)),1,1,"")</f>
        <v>12</v>
      </c>
      <c r="AV143" s="45"/>
      <c r="AW143" s="46"/>
      <c r="AX143" s="45"/>
      <c r="AY143" s="46"/>
      <c r="AZ143" s="45"/>
      <c r="BA143" s="46"/>
      <c r="BB143" s="45"/>
      <c r="BC143" s="46"/>
      <c r="BD143" s="45"/>
      <c r="BE143" s="110" t="s">
        <v>1874</v>
      </c>
      <c r="BF143" s="110" t="s">
        <v>1874</v>
      </c>
      <c r="BG143" s="110" t="s">
        <v>1874</v>
      </c>
      <c r="BH143" s="110" t="s">
        <v>1874</v>
      </c>
      <c r="BI143" s="2"/>
    </row>
    <row r="144" spans="1:61" ht="15">
      <c r="A144" s="61" t="s">
        <v>353</v>
      </c>
      <c r="B144" s="62" t="s">
        <v>2893</v>
      </c>
      <c r="C144" s="62"/>
      <c r="D144" s="63">
        <v>100</v>
      </c>
      <c r="E144" s="65">
        <v>50</v>
      </c>
      <c r="F144" s="100" t="str">
        <f>HYPERLINK("https://yt3.ggpht.com/mI6Hsqfs8D13rjT7qnXVa7a0VUluoquPRSeGXoESO0N1UWqM7nHeJ65MIdYrrrXOmHS4a_G1=s88-c-k-c0x00ffffff-no-rj")</f>
        <v>https://yt3.ggpht.com/mI6Hsqfs8D13rjT7qnXVa7a0VUluoquPRSeGXoESO0N1UWqM7nHeJ65MIdYrrrXOmHS4a_G1=s88-c-k-c0x00ffffff-no-rj</v>
      </c>
      <c r="G144" s="62"/>
      <c r="H144" s="66" t="s">
        <v>1191</v>
      </c>
      <c r="I144" s="67"/>
      <c r="J144" s="67" t="s">
        <v>159</v>
      </c>
      <c r="K144" s="66" t="s">
        <v>1191</v>
      </c>
      <c r="L144" s="70"/>
      <c r="M144" s="71">
        <v>7711.99462890625</v>
      </c>
      <c r="N144" s="71">
        <v>1615.007080078125</v>
      </c>
      <c r="O144" s="72"/>
      <c r="P144" s="73"/>
      <c r="Q144" s="73"/>
      <c r="R144" s="94"/>
      <c r="S144" s="45">
        <v>0</v>
      </c>
      <c r="T144" s="45">
        <v>1</v>
      </c>
      <c r="U144" s="46">
        <v>0</v>
      </c>
      <c r="V144" s="46">
        <v>0.011264</v>
      </c>
      <c r="W144" s="46">
        <v>0</v>
      </c>
      <c r="X144" s="46">
        <v>0.002078</v>
      </c>
      <c r="Y144" s="46">
        <v>0</v>
      </c>
      <c r="Z144" s="46">
        <v>0</v>
      </c>
      <c r="AA144" s="68">
        <v>144</v>
      </c>
      <c r="AB144" s="68"/>
      <c r="AC144" s="69"/>
      <c r="AD144" s="83" t="s">
        <v>1191</v>
      </c>
      <c r="AE144" s="83" t="s">
        <v>1978</v>
      </c>
      <c r="AF144" s="83"/>
      <c r="AG144" s="83"/>
      <c r="AH144" s="83"/>
      <c r="AI144" s="83" t="s">
        <v>2222</v>
      </c>
      <c r="AJ144" s="83" t="s">
        <v>2585</v>
      </c>
      <c r="AK144" s="89" t="str">
        <f>HYPERLINK("https://yt3.ggpht.com/mI6Hsqfs8D13rjT7qnXVa7a0VUluoquPRSeGXoESO0N1UWqM7nHeJ65MIdYrrrXOmHS4a_G1=s88-c-k-c0x00ffffff-no-rj")</f>
        <v>https://yt3.ggpht.com/mI6Hsqfs8D13rjT7qnXVa7a0VUluoquPRSeGXoESO0N1UWqM7nHeJ65MIdYrrrXOmHS4a_G1=s88-c-k-c0x00ffffff-no-rj</v>
      </c>
      <c r="AL144" s="83">
        <v>127547</v>
      </c>
      <c r="AM144" s="83">
        <v>0</v>
      </c>
      <c r="AN144" s="83">
        <v>721</v>
      </c>
      <c r="AO144" s="83" t="b">
        <v>0</v>
      </c>
      <c r="AP144" s="83">
        <v>60</v>
      </c>
      <c r="AQ144" s="83"/>
      <c r="AR144" s="83"/>
      <c r="AS144" s="83" t="s">
        <v>2744</v>
      </c>
      <c r="AT144" s="89" t="str">
        <f>HYPERLINK("https://www.youtube.com/channel/UCnLqrdCQ46RiHg4vXINPKGA")</f>
        <v>https://www.youtube.com/channel/UCnLqrdCQ46RiHg4vXINPKGA</v>
      </c>
      <c r="AU144" s="83" t="str">
        <f>REPLACE(INDEX(GroupVertices[Group],MATCH(Vertices[[#This Row],[Vertex]],GroupVertices[Vertex],0)),1,1,"")</f>
        <v>12</v>
      </c>
      <c r="AV144" s="45"/>
      <c r="AW144" s="46"/>
      <c r="AX144" s="45"/>
      <c r="AY144" s="46"/>
      <c r="AZ144" s="45"/>
      <c r="BA144" s="46"/>
      <c r="BB144" s="45"/>
      <c r="BC144" s="46"/>
      <c r="BD144" s="45"/>
      <c r="BE144" s="110" t="s">
        <v>1874</v>
      </c>
      <c r="BF144" s="110" t="s">
        <v>1874</v>
      </c>
      <c r="BG144" s="110" t="s">
        <v>1874</v>
      </c>
      <c r="BH144" s="110" t="s">
        <v>1874</v>
      </c>
      <c r="BI144" s="2"/>
    </row>
    <row r="145" spans="1:61" ht="15">
      <c r="A145" s="61" t="s">
        <v>354</v>
      </c>
      <c r="B145" s="62" t="s">
        <v>2893</v>
      </c>
      <c r="C145" s="62"/>
      <c r="D145" s="63">
        <v>100</v>
      </c>
      <c r="E145" s="65">
        <v>50</v>
      </c>
      <c r="F145" s="100" t="str">
        <f>HYPERLINK("https://yt3.ggpht.com/MR_MDCKBr63jtOEExyZhDxUr7URDYnGj7gVnMrtG0ycqzMHCcSgi6VApu84jxqUXiiWYWcJw=s88-c-k-c0x00ffffff-no-rj")</f>
        <v>https://yt3.ggpht.com/MR_MDCKBr63jtOEExyZhDxUr7URDYnGj7gVnMrtG0ycqzMHCcSgi6VApu84jxqUXiiWYWcJw=s88-c-k-c0x00ffffff-no-rj</v>
      </c>
      <c r="G145" s="62"/>
      <c r="H145" s="66" t="s">
        <v>1192</v>
      </c>
      <c r="I145" s="67"/>
      <c r="J145" s="67" t="s">
        <v>159</v>
      </c>
      <c r="K145" s="66" t="s">
        <v>1192</v>
      </c>
      <c r="L145" s="70"/>
      <c r="M145" s="71">
        <v>7180.1328125</v>
      </c>
      <c r="N145" s="71">
        <v>1615.007080078125</v>
      </c>
      <c r="O145" s="72"/>
      <c r="P145" s="73"/>
      <c r="Q145" s="73"/>
      <c r="R145" s="94"/>
      <c r="S145" s="45">
        <v>0</v>
      </c>
      <c r="T145" s="45">
        <v>1</v>
      </c>
      <c r="U145" s="46">
        <v>0</v>
      </c>
      <c r="V145" s="46">
        <v>0.011264</v>
      </c>
      <c r="W145" s="46">
        <v>0</v>
      </c>
      <c r="X145" s="46">
        <v>0.002078</v>
      </c>
      <c r="Y145" s="46">
        <v>0</v>
      </c>
      <c r="Z145" s="46">
        <v>0</v>
      </c>
      <c r="AA145" s="68">
        <v>145</v>
      </c>
      <c r="AB145" s="68"/>
      <c r="AC145" s="69"/>
      <c r="AD145" s="83" t="s">
        <v>1192</v>
      </c>
      <c r="AE145" s="83" t="s">
        <v>1979</v>
      </c>
      <c r="AF145" s="83"/>
      <c r="AG145" s="83"/>
      <c r="AH145" s="83"/>
      <c r="AI145" s="83" t="s">
        <v>2223</v>
      </c>
      <c r="AJ145" s="92">
        <v>45231.55006944444</v>
      </c>
      <c r="AK145" s="89" t="str">
        <f>HYPERLINK("https://yt3.ggpht.com/MR_MDCKBr63jtOEExyZhDxUr7URDYnGj7gVnMrtG0ycqzMHCcSgi6VApu84jxqUXiiWYWcJw=s88-c-k-c0x00ffffff-no-rj")</f>
        <v>https://yt3.ggpht.com/MR_MDCKBr63jtOEExyZhDxUr7URDYnGj7gVnMrtG0ycqzMHCcSgi6VApu84jxqUXiiWYWcJw=s88-c-k-c0x00ffffff-no-rj</v>
      </c>
      <c r="AL145" s="83">
        <v>0</v>
      </c>
      <c r="AM145" s="83">
        <v>0</v>
      </c>
      <c r="AN145" s="83">
        <v>0</v>
      </c>
      <c r="AO145" s="83" t="b">
        <v>0</v>
      </c>
      <c r="AP145" s="83">
        <v>0</v>
      </c>
      <c r="AQ145" s="83"/>
      <c r="AR145" s="83"/>
      <c r="AS145" s="83" t="s">
        <v>2744</v>
      </c>
      <c r="AT145" s="89" t="str">
        <f>HYPERLINK("https://www.youtube.com/channel/UCbMeIKHrk_YIC5ZHX_kRdpw")</f>
        <v>https://www.youtube.com/channel/UCbMeIKHrk_YIC5ZHX_kRdpw</v>
      </c>
      <c r="AU145" s="83" t="str">
        <f>REPLACE(INDEX(GroupVertices[Group],MATCH(Vertices[[#This Row],[Vertex]],GroupVertices[Vertex],0)),1,1,"")</f>
        <v>12</v>
      </c>
      <c r="AV145" s="45"/>
      <c r="AW145" s="46"/>
      <c r="AX145" s="45"/>
      <c r="AY145" s="46"/>
      <c r="AZ145" s="45"/>
      <c r="BA145" s="46"/>
      <c r="BB145" s="45"/>
      <c r="BC145" s="46"/>
      <c r="BD145" s="45"/>
      <c r="BE145" s="110" t="s">
        <v>1874</v>
      </c>
      <c r="BF145" s="110" t="s">
        <v>1874</v>
      </c>
      <c r="BG145" s="110" t="s">
        <v>1874</v>
      </c>
      <c r="BH145" s="110" t="s">
        <v>1874</v>
      </c>
      <c r="BI145" s="2"/>
    </row>
    <row r="146" spans="1:61" ht="15">
      <c r="A146" s="61" t="s">
        <v>355</v>
      </c>
      <c r="B146" s="62" t="s">
        <v>2893</v>
      </c>
      <c r="C146" s="62"/>
      <c r="D146" s="63">
        <v>100</v>
      </c>
      <c r="E146" s="65">
        <v>50</v>
      </c>
      <c r="F146" s="100" t="str">
        <f>HYPERLINK("https://yt3.ggpht.com/97cNDcn8lGd0k8NC8tZo8d2dYXw_r4F71C4ZcZUDlMDANO_3hANLcXdSQ8fZGTWQ_x7Akdlv=s88-c-k-c0x00ffffff-no-rj")</f>
        <v>https://yt3.ggpht.com/97cNDcn8lGd0k8NC8tZo8d2dYXw_r4F71C4ZcZUDlMDANO_3hANLcXdSQ8fZGTWQ_x7Akdlv=s88-c-k-c0x00ffffff-no-rj</v>
      </c>
      <c r="G146" s="62"/>
      <c r="H146" s="66" t="s">
        <v>1193</v>
      </c>
      <c r="I146" s="67"/>
      <c r="J146" s="67" t="s">
        <v>159</v>
      </c>
      <c r="K146" s="66" t="s">
        <v>1193</v>
      </c>
      <c r="L146" s="70"/>
      <c r="M146" s="71">
        <v>8562.9736328125</v>
      </c>
      <c r="N146" s="71">
        <v>1825.66015625</v>
      </c>
      <c r="O146" s="72"/>
      <c r="P146" s="73"/>
      <c r="Q146" s="73"/>
      <c r="R146" s="94"/>
      <c r="S146" s="45">
        <v>0</v>
      </c>
      <c r="T146" s="45">
        <v>1</v>
      </c>
      <c r="U146" s="46">
        <v>0</v>
      </c>
      <c r="V146" s="46">
        <v>0.004255</v>
      </c>
      <c r="W146" s="46">
        <v>0</v>
      </c>
      <c r="X146" s="46">
        <v>0.00212</v>
      </c>
      <c r="Y146" s="46">
        <v>0</v>
      </c>
      <c r="Z146" s="46">
        <v>0</v>
      </c>
      <c r="AA146" s="68">
        <v>146</v>
      </c>
      <c r="AB146" s="68"/>
      <c r="AC146" s="69"/>
      <c r="AD146" s="83" t="s">
        <v>1193</v>
      </c>
      <c r="AE146" s="83"/>
      <c r="AF146" s="83"/>
      <c r="AG146" s="83"/>
      <c r="AH146" s="83"/>
      <c r="AI146" s="83" t="s">
        <v>2224</v>
      </c>
      <c r="AJ146" s="83" t="s">
        <v>2586</v>
      </c>
      <c r="AK146" s="89" t="str">
        <f>HYPERLINK("https://yt3.ggpht.com/97cNDcn8lGd0k8NC8tZo8d2dYXw_r4F71C4ZcZUDlMDANO_3hANLcXdSQ8fZGTWQ_x7Akdlv=s88-c-k-c0x00ffffff-no-rj")</f>
        <v>https://yt3.ggpht.com/97cNDcn8lGd0k8NC8tZo8d2dYXw_r4F71C4ZcZUDlMDANO_3hANLcXdSQ8fZGTWQ_x7Akdlv=s88-c-k-c0x00ffffff-no-rj</v>
      </c>
      <c r="AL146" s="83">
        <v>0</v>
      </c>
      <c r="AM146" s="83">
        <v>0</v>
      </c>
      <c r="AN146" s="83">
        <v>3</v>
      </c>
      <c r="AO146" s="83" t="b">
        <v>0</v>
      </c>
      <c r="AP146" s="83">
        <v>0</v>
      </c>
      <c r="AQ146" s="83"/>
      <c r="AR146" s="83"/>
      <c r="AS146" s="83" t="s">
        <v>2744</v>
      </c>
      <c r="AT146" s="89" t="str">
        <f>HYPERLINK("https://www.youtube.com/channel/UCwmTFJqNyteQHyeR2wbVcfQ")</f>
        <v>https://www.youtube.com/channel/UCwmTFJqNyteQHyeR2wbVcfQ</v>
      </c>
      <c r="AU146" s="83" t="str">
        <f>REPLACE(INDEX(GroupVertices[Group],MATCH(Vertices[[#This Row],[Vertex]],GroupVertices[Vertex],0)),1,1,"")</f>
        <v>15</v>
      </c>
      <c r="AV146" s="45"/>
      <c r="AW146" s="46"/>
      <c r="AX146" s="45"/>
      <c r="AY146" s="46"/>
      <c r="AZ146" s="45"/>
      <c r="BA146" s="46"/>
      <c r="BB146" s="45"/>
      <c r="BC146" s="46"/>
      <c r="BD146" s="45"/>
      <c r="BE146" s="110" t="s">
        <v>1874</v>
      </c>
      <c r="BF146" s="110" t="s">
        <v>1874</v>
      </c>
      <c r="BG146" s="110" t="s">
        <v>1874</v>
      </c>
      <c r="BH146" s="110" t="s">
        <v>1874</v>
      </c>
      <c r="BI146" s="2"/>
    </row>
    <row r="147" spans="1:61" ht="15">
      <c r="A147" s="61" t="s">
        <v>641</v>
      </c>
      <c r="B147" s="62" t="s">
        <v>2893</v>
      </c>
      <c r="C147" s="62"/>
      <c r="D147" s="63">
        <v>135.64356435643566</v>
      </c>
      <c r="E147" s="65">
        <v>75</v>
      </c>
      <c r="F147" s="100" t="str">
        <f>HYPERLINK("https://yt3.ggpht.com/9SyjNC_xBU5Wq2lSPaBIIcBCN9mGFGtepZpXmwIjWk-DepQF-ytXQ8mjS01x5-vI8V8ammyE7g=s88-c-k-c0x00ffffff-no-rj")</f>
        <v>https://yt3.ggpht.com/9SyjNC_xBU5Wq2lSPaBIIcBCN9mGFGtepZpXmwIjWk-DepQF-ytXQ8mjS01x5-vI8V8ammyE7g=s88-c-k-c0x00ffffff-no-rj</v>
      </c>
      <c r="G147" s="62"/>
      <c r="H147" s="66" t="s">
        <v>1900</v>
      </c>
      <c r="I147" s="67"/>
      <c r="J147" s="67" t="s">
        <v>159</v>
      </c>
      <c r="K147" s="66" t="s">
        <v>1900</v>
      </c>
      <c r="L147" s="70"/>
      <c r="M147" s="71">
        <v>8562.9736328125</v>
      </c>
      <c r="N147" s="71">
        <v>2499.75</v>
      </c>
      <c r="O147" s="72"/>
      <c r="P147" s="73"/>
      <c r="Q147" s="73"/>
      <c r="R147" s="94"/>
      <c r="S147" s="45">
        <v>4</v>
      </c>
      <c r="T147" s="45">
        <v>1</v>
      </c>
      <c r="U147" s="46">
        <v>6</v>
      </c>
      <c r="V147" s="46">
        <v>0.007092</v>
      </c>
      <c r="W147" s="46">
        <v>0</v>
      </c>
      <c r="X147" s="46">
        <v>0.003074</v>
      </c>
      <c r="Y147" s="46">
        <v>0</v>
      </c>
      <c r="Z147" s="46">
        <v>0</v>
      </c>
      <c r="AA147" s="68">
        <v>147</v>
      </c>
      <c r="AB147" s="68"/>
      <c r="AC147" s="69"/>
      <c r="AD147" s="83" t="s">
        <v>1900</v>
      </c>
      <c r="AE147" s="83" t="s">
        <v>1980</v>
      </c>
      <c r="AF147" s="83"/>
      <c r="AG147" s="83"/>
      <c r="AH147" s="83"/>
      <c r="AI147" s="83" t="s">
        <v>2225</v>
      </c>
      <c r="AJ147" s="83" t="s">
        <v>2587</v>
      </c>
      <c r="AK147" s="89" t="str">
        <f>HYPERLINK("https://yt3.ggpht.com/9SyjNC_xBU5Wq2lSPaBIIcBCN9mGFGtepZpXmwIjWk-DepQF-ytXQ8mjS01x5-vI8V8ammyE7g=s88-c-k-c0x00ffffff-no-rj")</f>
        <v>https://yt3.ggpht.com/9SyjNC_xBU5Wq2lSPaBIIcBCN9mGFGtepZpXmwIjWk-DepQF-ytXQ8mjS01x5-vI8V8ammyE7g=s88-c-k-c0x00ffffff-no-rj</v>
      </c>
      <c r="AL147" s="83">
        <v>2138</v>
      </c>
      <c r="AM147" s="83">
        <v>0</v>
      </c>
      <c r="AN147" s="83">
        <v>74</v>
      </c>
      <c r="AO147" s="83" t="b">
        <v>0</v>
      </c>
      <c r="AP147" s="83">
        <v>11</v>
      </c>
      <c r="AQ147" s="83"/>
      <c r="AR147" s="83"/>
      <c r="AS147" s="83" t="s">
        <v>2744</v>
      </c>
      <c r="AT147" s="89" t="str">
        <f>HYPERLINK("https://www.youtube.com/channel/UCZY2WKUVwnjRgoY7_AwTDnA")</f>
        <v>https://www.youtube.com/channel/UCZY2WKUVwnjRgoY7_AwTDnA</v>
      </c>
      <c r="AU147" s="83" t="str">
        <f>REPLACE(INDEX(GroupVertices[Group],MATCH(Vertices[[#This Row],[Vertex]],GroupVertices[Vertex],0)),1,1,"")</f>
        <v>15</v>
      </c>
      <c r="AV147" s="45"/>
      <c r="AW147" s="46"/>
      <c r="AX147" s="45"/>
      <c r="AY147" s="46"/>
      <c r="AZ147" s="45"/>
      <c r="BA147" s="46"/>
      <c r="BB147" s="45"/>
      <c r="BC147" s="46"/>
      <c r="BD147" s="45"/>
      <c r="BE147" s="110" t="s">
        <v>1874</v>
      </c>
      <c r="BF147" s="110" t="s">
        <v>1874</v>
      </c>
      <c r="BG147" s="110" t="s">
        <v>1874</v>
      </c>
      <c r="BH147" s="110" t="s">
        <v>1874</v>
      </c>
      <c r="BI147" s="2"/>
    </row>
    <row r="148" spans="1:61" ht="15">
      <c r="A148" s="61" t="s">
        <v>356</v>
      </c>
      <c r="B148" s="62" t="s">
        <v>2893</v>
      </c>
      <c r="C148" s="62"/>
      <c r="D148" s="63">
        <v>100</v>
      </c>
      <c r="E148" s="65">
        <v>50</v>
      </c>
      <c r="F148" s="100" t="str">
        <f>HYPERLINK("https://yt3.ggpht.com/ytc/AGIKgqMtyHeMJ67Nbbtz_GLlvTYnAC0DjPgFjGEIVHcsKFuHV0BTg5q94IpBjf9-HdHD=s88-c-k-c0x00ffffff-no-rj")</f>
        <v>https://yt3.ggpht.com/ytc/AGIKgqMtyHeMJ67Nbbtz_GLlvTYnAC0DjPgFjGEIVHcsKFuHV0BTg5q94IpBjf9-HdHD=s88-c-k-c0x00ffffff-no-rj</v>
      </c>
      <c r="G148" s="62"/>
      <c r="H148" s="66" t="s">
        <v>1194</v>
      </c>
      <c r="I148" s="67"/>
      <c r="J148" s="67" t="s">
        <v>159</v>
      </c>
      <c r="K148" s="66" t="s">
        <v>1194</v>
      </c>
      <c r="L148" s="70"/>
      <c r="M148" s="71">
        <v>8350.228515625</v>
      </c>
      <c r="N148" s="71">
        <v>1825.66015625</v>
      </c>
      <c r="O148" s="72"/>
      <c r="P148" s="73"/>
      <c r="Q148" s="73"/>
      <c r="R148" s="94"/>
      <c r="S148" s="45">
        <v>0</v>
      </c>
      <c r="T148" s="45">
        <v>1</v>
      </c>
      <c r="U148" s="46">
        <v>0</v>
      </c>
      <c r="V148" s="46">
        <v>0.004255</v>
      </c>
      <c r="W148" s="46">
        <v>0</v>
      </c>
      <c r="X148" s="46">
        <v>0.00212</v>
      </c>
      <c r="Y148" s="46">
        <v>0</v>
      </c>
      <c r="Z148" s="46">
        <v>0</v>
      </c>
      <c r="AA148" s="68">
        <v>148</v>
      </c>
      <c r="AB148" s="68"/>
      <c r="AC148" s="69"/>
      <c r="AD148" s="83" t="s">
        <v>1194</v>
      </c>
      <c r="AE148" s="83"/>
      <c r="AF148" s="83"/>
      <c r="AG148" s="83"/>
      <c r="AH148" s="83"/>
      <c r="AI148" s="83" t="s">
        <v>2226</v>
      </c>
      <c r="AJ148" s="83" t="s">
        <v>2588</v>
      </c>
      <c r="AK148" s="89" t="str">
        <f>HYPERLINK("https://yt3.ggpht.com/ytc/AGIKgqMtyHeMJ67Nbbtz_GLlvTYnAC0DjPgFjGEIVHcsKFuHV0BTg5q94IpBjf9-HdHD=s88-c-k-c0x00ffffff-no-rj")</f>
        <v>https://yt3.ggpht.com/ytc/AGIKgqMtyHeMJ67Nbbtz_GLlvTYnAC0DjPgFjGEIVHcsKFuHV0BTg5q94IpBjf9-HdHD=s88-c-k-c0x00ffffff-no-rj</v>
      </c>
      <c r="AL148" s="83">
        <v>0</v>
      </c>
      <c r="AM148" s="83">
        <v>0</v>
      </c>
      <c r="AN148" s="83">
        <v>2</v>
      </c>
      <c r="AO148" s="83" t="b">
        <v>0</v>
      </c>
      <c r="AP148" s="83">
        <v>0</v>
      </c>
      <c r="AQ148" s="83"/>
      <c r="AR148" s="83"/>
      <c r="AS148" s="83" t="s">
        <v>2744</v>
      </c>
      <c r="AT148" s="89" t="str">
        <f>HYPERLINK("https://www.youtube.com/channel/UCZs-kiQQ9mhe4W36Z4st32w")</f>
        <v>https://www.youtube.com/channel/UCZs-kiQQ9mhe4W36Z4st32w</v>
      </c>
      <c r="AU148" s="83" t="str">
        <f>REPLACE(INDEX(GroupVertices[Group],MATCH(Vertices[[#This Row],[Vertex]],GroupVertices[Vertex],0)),1,1,"")</f>
        <v>15</v>
      </c>
      <c r="AV148" s="45"/>
      <c r="AW148" s="46"/>
      <c r="AX148" s="45"/>
      <c r="AY148" s="46"/>
      <c r="AZ148" s="45"/>
      <c r="BA148" s="46"/>
      <c r="BB148" s="45"/>
      <c r="BC148" s="46"/>
      <c r="BD148" s="45"/>
      <c r="BE148" s="110" t="s">
        <v>1874</v>
      </c>
      <c r="BF148" s="110" t="s">
        <v>1874</v>
      </c>
      <c r="BG148" s="110" t="s">
        <v>1874</v>
      </c>
      <c r="BH148" s="110" t="s">
        <v>1874</v>
      </c>
      <c r="BI148" s="2"/>
    </row>
    <row r="149" spans="1:61" ht="15">
      <c r="A149" s="61" t="s">
        <v>357</v>
      </c>
      <c r="B149" s="62" t="s">
        <v>2893</v>
      </c>
      <c r="C149" s="62"/>
      <c r="D149" s="63">
        <v>100</v>
      </c>
      <c r="E149" s="65">
        <v>50</v>
      </c>
      <c r="F149" s="100" t="str">
        <f>HYPERLINK("https://yt3.ggpht.com/ytc/AGIKgqPzwQdMH-8vj5yPWwEmUMVYea_9B2Zm4uua0gXlt3X8tjBQPvRK_YaSeKjf9XHw=s88-c-k-c0x00ffffff-no-rj")</f>
        <v>https://yt3.ggpht.com/ytc/AGIKgqPzwQdMH-8vj5yPWwEmUMVYea_9B2Zm4uua0gXlt3X8tjBQPvRK_YaSeKjf9XHw=s88-c-k-c0x00ffffff-no-rj</v>
      </c>
      <c r="G149" s="62"/>
      <c r="H149" s="66" t="s">
        <v>1195</v>
      </c>
      <c r="I149" s="67"/>
      <c r="J149" s="67" t="s">
        <v>159</v>
      </c>
      <c r="K149" s="66" t="s">
        <v>1195</v>
      </c>
      <c r="L149" s="70"/>
      <c r="M149" s="71">
        <v>8350.228515625</v>
      </c>
      <c r="N149" s="71">
        <v>2499.75</v>
      </c>
      <c r="O149" s="72"/>
      <c r="P149" s="73"/>
      <c r="Q149" s="73"/>
      <c r="R149" s="94"/>
      <c r="S149" s="45">
        <v>0</v>
      </c>
      <c r="T149" s="45">
        <v>1</v>
      </c>
      <c r="U149" s="46">
        <v>0</v>
      </c>
      <c r="V149" s="46">
        <v>0.004255</v>
      </c>
      <c r="W149" s="46">
        <v>0</v>
      </c>
      <c r="X149" s="46">
        <v>0.00212</v>
      </c>
      <c r="Y149" s="46">
        <v>0</v>
      </c>
      <c r="Z149" s="46">
        <v>0</v>
      </c>
      <c r="AA149" s="68">
        <v>149</v>
      </c>
      <c r="AB149" s="68"/>
      <c r="AC149" s="69"/>
      <c r="AD149" s="83" t="s">
        <v>1195</v>
      </c>
      <c r="AE149" s="83"/>
      <c r="AF149" s="83"/>
      <c r="AG149" s="83"/>
      <c r="AH149" s="83"/>
      <c r="AI149" s="83" t="s">
        <v>2227</v>
      </c>
      <c r="AJ149" s="92">
        <v>44324.43079861111</v>
      </c>
      <c r="AK149" s="89" t="str">
        <f>HYPERLINK("https://yt3.ggpht.com/ytc/AGIKgqPzwQdMH-8vj5yPWwEmUMVYea_9B2Zm4uua0gXlt3X8tjBQPvRK_YaSeKjf9XHw=s88-c-k-c0x00ffffff-no-rj")</f>
        <v>https://yt3.ggpht.com/ytc/AGIKgqPzwQdMH-8vj5yPWwEmUMVYea_9B2Zm4uua0gXlt3X8tjBQPvRK_YaSeKjf9XHw=s88-c-k-c0x00ffffff-no-rj</v>
      </c>
      <c r="AL149" s="83">
        <v>0</v>
      </c>
      <c r="AM149" s="83">
        <v>0</v>
      </c>
      <c r="AN149" s="83">
        <v>0</v>
      </c>
      <c r="AO149" s="83" t="b">
        <v>0</v>
      </c>
      <c r="AP149" s="83">
        <v>0</v>
      </c>
      <c r="AQ149" s="83"/>
      <c r="AR149" s="83"/>
      <c r="AS149" s="83" t="s">
        <v>2744</v>
      </c>
      <c r="AT149" s="89" t="str">
        <f>HYPERLINK("https://www.youtube.com/channel/UCBVDQ2ttPEi19aYBMhzUUpw")</f>
        <v>https://www.youtube.com/channel/UCBVDQ2ttPEi19aYBMhzUUpw</v>
      </c>
      <c r="AU149" s="83" t="str">
        <f>REPLACE(INDEX(GroupVertices[Group],MATCH(Vertices[[#This Row],[Vertex]],GroupVertices[Vertex],0)),1,1,"")</f>
        <v>15</v>
      </c>
      <c r="AV149" s="45"/>
      <c r="AW149" s="46"/>
      <c r="AX149" s="45"/>
      <c r="AY149" s="46"/>
      <c r="AZ149" s="45"/>
      <c r="BA149" s="46"/>
      <c r="BB149" s="45"/>
      <c r="BC149" s="46"/>
      <c r="BD149" s="45"/>
      <c r="BE149" s="110" t="s">
        <v>1874</v>
      </c>
      <c r="BF149" s="110" t="s">
        <v>1874</v>
      </c>
      <c r="BG149" s="110" t="s">
        <v>1874</v>
      </c>
      <c r="BH149" s="110" t="s">
        <v>1874</v>
      </c>
      <c r="BI149" s="2"/>
    </row>
    <row r="150" spans="1:61" ht="15">
      <c r="A150" s="61" t="s">
        <v>358</v>
      </c>
      <c r="B150" s="62" t="s">
        <v>2893</v>
      </c>
      <c r="C150" s="62"/>
      <c r="D150" s="63">
        <v>100</v>
      </c>
      <c r="E150" s="65">
        <v>50</v>
      </c>
      <c r="F150" s="100" t="str">
        <f>HYPERLINK("https://yt3.ggpht.com/ytc/AGIKgqNQw7TsLsqiIa981QItWS_E-SLpMkP0UCSaugF1Cg=s88-c-k-c0x00ffffff-no-rj")</f>
        <v>https://yt3.ggpht.com/ytc/AGIKgqNQw7TsLsqiIa981QItWS_E-SLpMkP0UCSaugF1Cg=s88-c-k-c0x00ffffff-no-rj</v>
      </c>
      <c r="G150" s="62"/>
      <c r="H150" s="66" t="s">
        <v>1196</v>
      </c>
      <c r="I150" s="67"/>
      <c r="J150" s="67" t="s">
        <v>159</v>
      </c>
      <c r="K150" s="66" t="s">
        <v>1196</v>
      </c>
      <c r="L150" s="70"/>
      <c r="M150" s="71">
        <v>3307.514892578125</v>
      </c>
      <c r="N150" s="71">
        <v>1148.7613525390625</v>
      </c>
      <c r="O150" s="72"/>
      <c r="P150" s="73"/>
      <c r="Q150" s="73"/>
      <c r="R150" s="94"/>
      <c r="S150" s="45">
        <v>0</v>
      </c>
      <c r="T150" s="45">
        <v>1</v>
      </c>
      <c r="U150" s="46">
        <v>0</v>
      </c>
      <c r="V150" s="46">
        <v>0.046698</v>
      </c>
      <c r="W150" s="46">
        <v>0</v>
      </c>
      <c r="X150" s="46">
        <v>0.002058</v>
      </c>
      <c r="Y150" s="46">
        <v>0</v>
      </c>
      <c r="Z150" s="46">
        <v>0</v>
      </c>
      <c r="AA150" s="68">
        <v>150</v>
      </c>
      <c r="AB150" s="68"/>
      <c r="AC150" s="69"/>
      <c r="AD150" s="83" t="s">
        <v>1196</v>
      </c>
      <c r="AE150" s="83"/>
      <c r="AF150" s="83"/>
      <c r="AG150" s="83"/>
      <c r="AH150" s="83"/>
      <c r="AI150" s="83" t="s">
        <v>2228</v>
      </c>
      <c r="AJ150" s="83" t="s">
        <v>2589</v>
      </c>
      <c r="AK150" s="89" t="str">
        <f>HYPERLINK("https://yt3.ggpht.com/ytc/AGIKgqNQw7TsLsqiIa981QItWS_E-SLpMkP0UCSaugF1Cg=s88-c-k-c0x00ffffff-no-rj")</f>
        <v>https://yt3.ggpht.com/ytc/AGIKgqNQw7TsLsqiIa981QItWS_E-SLpMkP0UCSaugF1Cg=s88-c-k-c0x00ffffff-no-rj</v>
      </c>
      <c r="AL150" s="83">
        <v>115</v>
      </c>
      <c r="AM150" s="83">
        <v>0</v>
      </c>
      <c r="AN150" s="83">
        <v>3</v>
      </c>
      <c r="AO150" s="83" t="b">
        <v>0</v>
      </c>
      <c r="AP150" s="83">
        <v>1</v>
      </c>
      <c r="AQ150" s="83"/>
      <c r="AR150" s="83"/>
      <c r="AS150" s="83" t="s">
        <v>2744</v>
      </c>
      <c r="AT150" s="89" t="str">
        <f>HYPERLINK("https://www.youtube.com/channel/UC3pcN23LvBNoYc1-im8zJVw")</f>
        <v>https://www.youtube.com/channel/UC3pcN23LvBNoYc1-im8zJVw</v>
      </c>
      <c r="AU150" s="83" t="str">
        <f>REPLACE(INDEX(GroupVertices[Group],MATCH(Vertices[[#This Row],[Vertex]],GroupVertices[Vertex],0)),1,1,"")</f>
        <v>3</v>
      </c>
      <c r="AV150" s="45"/>
      <c r="AW150" s="46"/>
      <c r="AX150" s="45"/>
      <c r="AY150" s="46"/>
      <c r="AZ150" s="45"/>
      <c r="BA150" s="46"/>
      <c r="BB150" s="45"/>
      <c r="BC150" s="46"/>
      <c r="BD150" s="45"/>
      <c r="BE150" s="110" t="s">
        <v>1874</v>
      </c>
      <c r="BF150" s="110" t="s">
        <v>1874</v>
      </c>
      <c r="BG150" s="110" t="s">
        <v>1874</v>
      </c>
      <c r="BH150" s="110" t="s">
        <v>1874</v>
      </c>
      <c r="BI150" s="2"/>
    </row>
    <row r="151" spans="1:61" ht="15">
      <c r="A151" s="61" t="s">
        <v>359</v>
      </c>
      <c r="B151" s="62" t="s">
        <v>2893</v>
      </c>
      <c r="C151" s="62"/>
      <c r="D151" s="63">
        <v>100</v>
      </c>
      <c r="E151" s="65">
        <v>50</v>
      </c>
      <c r="F151" s="100" t="str">
        <f>HYPERLINK("https://yt3.ggpht.com/ytc/AGIKgqMG2kKS8FYqv6pS714gjXG5027Kv3oTGYAHLc9a=s88-c-k-c0x00ffffff-no-rj")</f>
        <v>https://yt3.ggpht.com/ytc/AGIKgqMG2kKS8FYqv6pS714gjXG5027Kv3oTGYAHLc9a=s88-c-k-c0x00ffffff-no-rj</v>
      </c>
      <c r="G151" s="62"/>
      <c r="H151" s="66" t="s">
        <v>1197</v>
      </c>
      <c r="I151" s="67"/>
      <c r="J151" s="67" t="s">
        <v>159</v>
      </c>
      <c r="K151" s="66" t="s">
        <v>1197</v>
      </c>
      <c r="L151" s="70"/>
      <c r="M151" s="71">
        <v>2968.453125</v>
      </c>
      <c r="N151" s="71">
        <v>1148.7613525390625</v>
      </c>
      <c r="O151" s="72"/>
      <c r="P151" s="73"/>
      <c r="Q151" s="73"/>
      <c r="R151" s="94"/>
      <c r="S151" s="45">
        <v>0</v>
      </c>
      <c r="T151" s="45">
        <v>1</v>
      </c>
      <c r="U151" s="46">
        <v>0</v>
      </c>
      <c r="V151" s="46">
        <v>0.046698</v>
      </c>
      <c r="W151" s="46">
        <v>0</v>
      </c>
      <c r="X151" s="46">
        <v>0.002058</v>
      </c>
      <c r="Y151" s="46">
        <v>0</v>
      </c>
      <c r="Z151" s="46">
        <v>0</v>
      </c>
      <c r="AA151" s="68">
        <v>151</v>
      </c>
      <c r="AB151" s="68"/>
      <c r="AC151" s="69"/>
      <c r="AD151" s="83" t="s">
        <v>1197</v>
      </c>
      <c r="AE151" s="83"/>
      <c r="AF151" s="83"/>
      <c r="AG151" s="83"/>
      <c r="AH151" s="83"/>
      <c r="AI151" s="83" t="s">
        <v>2229</v>
      </c>
      <c r="AJ151" s="83" t="s">
        <v>2590</v>
      </c>
      <c r="AK151" s="89" t="str">
        <f>HYPERLINK("https://yt3.ggpht.com/ytc/AGIKgqMG2kKS8FYqv6pS714gjXG5027Kv3oTGYAHLc9a=s88-c-k-c0x00ffffff-no-rj")</f>
        <v>https://yt3.ggpht.com/ytc/AGIKgqMG2kKS8FYqv6pS714gjXG5027Kv3oTGYAHLc9a=s88-c-k-c0x00ffffff-no-rj</v>
      </c>
      <c r="AL151" s="83">
        <v>2671</v>
      </c>
      <c r="AM151" s="83">
        <v>0</v>
      </c>
      <c r="AN151" s="83">
        <v>234</v>
      </c>
      <c r="AO151" s="83" t="b">
        <v>0</v>
      </c>
      <c r="AP151" s="83">
        <v>2</v>
      </c>
      <c r="AQ151" s="83"/>
      <c r="AR151" s="83"/>
      <c r="AS151" s="83" t="s">
        <v>2744</v>
      </c>
      <c r="AT151" s="89" t="str">
        <f>HYPERLINK("https://www.youtube.com/channel/UCbT9D2gRod5rrcQmHVclgmg")</f>
        <v>https://www.youtube.com/channel/UCbT9D2gRod5rrcQmHVclgmg</v>
      </c>
      <c r="AU151" s="83" t="str">
        <f>REPLACE(INDEX(GroupVertices[Group],MATCH(Vertices[[#This Row],[Vertex]],GroupVertices[Vertex],0)),1,1,"")</f>
        <v>3</v>
      </c>
      <c r="AV151" s="45"/>
      <c r="AW151" s="46"/>
      <c r="AX151" s="45"/>
      <c r="AY151" s="46"/>
      <c r="AZ151" s="45"/>
      <c r="BA151" s="46"/>
      <c r="BB151" s="45"/>
      <c r="BC151" s="46"/>
      <c r="BD151" s="45"/>
      <c r="BE151" s="110" t="s">
        <v>1874</v>
      </c>
      <c r="BF151" s="110" t="s">
        <v>1874</v>
      </c>
      <c r="BG151" s="110" t="s">
        <v>1874</v>
      </c>
      <c r="BH151" s="110" t="s">
        <v>1874</v>
      </c>
      <c r="BI151" s="2"/>
    </row>
    <row r="152" spans="1:61" ht="15">
      <c r="A152" s="61" t="s">
        <v>360</v>
      </c>
      <c r="B152" s="62" t="s">
        <v>2893</v>
      </c>
      <c r="C152" s="62"/>
      <c r="D152" s="63">
        <v>100</v>
      </c>
      <c r="E152" s="65">
        <v>50</v>
      </c>
      <c r="F152" s="100" t="str">
        <f>HYPERLINK("https://yt3.ggpht.com/ytc/AGIKgqMzGEECJj4rcR-83IbUfQSCgpZ-euFHW9Q7NA=s88-c-k-c0x00ffffff-no-rj")</f>
        <v>https://yt3.ggpht.com/ytc/AGIKgqMzGEECJj4rcR-83IbUfQSCgpZ-euFHW9Q7NA=s88-c-k-c0x00ffffff-no-rj</v>
      </c>
      <c r="G152" s="62"/>
      <c r="H152" s="66" t="s">
        <v>1198</v>
      </c>
      <c r="I152" s="67"/>
      <c r="J152" s="67" t="s">
        <v>159</v>
      </c>
      <c r="K152" s="66" t="s">
        <v>1198</v>
      </c>
      <c r="L152" s="70"/>
      <c r="M152" s="71">
        <v>2629.391357421875</v>
      </c>
      <c r="N152" s="71">
        <v>1148.7613525390625</v>
      </c>
      <c r="O152" s="72"/>
      <c r="P152" s="73"/>
      <c r="Q152" s="73"/>
      <c r="R152" s="94"/>
      <c r="S152" s="45">
        <v>0</v>
      </c>
      <c r="T152" s="45">
        <v>1</v>
      </c>
      <c r="U152" s="46">
        <v>0</v>
      </c>
      <c r="V152" s="46">
        <v>0.046698</v>
      </c>
      <c r="W152" s="46">
        <v>0</v>
      </c>
      <c r="X152" s="46">
        <v>0.002058</v>
      </c>
      <c r="Y152" s="46">
        <v>0</v>
      </c>
      <c r="Z152" s="46">
        <v>0</v>
      </c>
      <c r="AA152" s="68">
        <v>152</v>
      </c>
      <c r="AB152" s="68"/>
      <c r="AC152" s="69"/>
      <c r="AD152" s="83" t="s">
        <v>1198</v>
      </c>
      <c r="AE152" s="83"/>
      <c r="AF152" s="83"/>
      <c r="AG152" s="83"/>
      <c r="AH152" s="83"/>
      <c r="AI152" s="83" t="s">
        <v>2230</v>
      </c>
      <c r="AJ152" s="83" t="s">
        <v>2591</v>
      </c>
      <c r="AK152" s="89" t="str">
        <f>HYPERLINK("https://yt3.ggpht.com/ytc/AGIKgqMzGEECJj4rcR-83IbUfQSCgpZ-euFHW9Q7NA=s88-c-k-c0x00ffffff-no-rj")</f>
        <v>https://yt3.ggpht.com/ytc/AGIKgqMzGEECJj4rcR-83IbUfQSCgpZ-euFHW9Q7NA=s88-c-k-c0x00ffffff-no-rj</v>
      </c>
      <c r="AL152" s="83">
        <v>7102716</v>
      </c>
      <c r="AM152" s="83">
        <v>0</v>
      </c>
      <c r="AN152" s="83">
        <v>5440</v>
      </c>
      <c r="AO152" s="83" t="b">
        <v>0</v>
      </c>
      <c r="AP152" s="83">
        <v>78</v>
      </c>
      <c r="AQ152" s="83"/>
      <c r="AR152" s="83"/>
      <c r="AS152" s="83" t="s">
        <v>2744</v>
      </c>
      <c r="AT152" s="89" t="str">
        <f>HYPERLINK("https://www.youtube.com/channel/UC8tGMCWGpGyKpr03A3OfgaA")</f>
        <v>https://www.youtube.com/channel/UC8tGMCWGpGyKpr03A3OfgaA</v>
      </c>
      <c r="AU152" s="83" t="str">
        <f>REPLACE(INDEX(GroupVertices[Group],MATCH(Vertices[[#This Row],[Vertex]],GroupVertices[Vertex],0)),1,1,"")</f>
        <v>3</v>
      </c>
      <c r="AV152" s="45"/>
      <c r="AW152" s="46"/>
      <c r="AX152" s="45"/>
      <c r="AY152" s="46"/>
      <c r="AZ152" s="45"/>
      <c r="BA152" s="46"/>
      <c r="BB152" s="45"/>
      <c r="BC152" s="46"/>
      <c r="BD152" s="45"/>
      <c r="BE152" s="110" t="s">
        <v>1874</v>
      </c>
      <c r="BF152" s="110" t="s">
        <v>1874</v>
      </c>
      <c r="BG152" s="110" t="s">
        <v>1874</v>
      </c>
      <c r="BH152" s="110" t="s">
        <v>1874</v>
      </c>
      <c r="BI152" s="2"/>
    </row>
    <row r="153" spans="1:61" ht="15">
      <c r="A153" s="61" t="s">
        <v>361</v>
      </c>
      <c r="B153" s="62" t="s">
        <v>2893</v>
      </c>
      <c r="C153" s="62"/>
      <c r="D153" s="63">
        <v>100</v>
      </c>
      <c r="E153" s="65">
        <v>50</v>
      </c>
      <c r="F153" s="100" t="str">
        <f>HYPERLINK("https://yt3.ggpht.com/ytc/AGIKgqPIZ3dM91c03kjCylBjnYpo11K_KVn1-QAdNULi=s88-c-k-c0x00ffffff-no-rj")</f>
        <v>https://yt3.ggpht.com/ytc/AGIKgqPIZ3dM91c03kjCylBjnYpo11K_KVn1-QAdNULi=s88-c-k-c0x00ffffff-no-rj</v>
      </c>
      <c r="G153" s="62"/>
      <c r="H153" s="66" t="s">
        <v>1199</v>
      </c>
      <c r="I153" s="67"/>
      <c r="J153" s="67" t="s">
        <v>159</v>
      </c>
      <c r="K153" s="66" t="s">
        <v>1199</v>
      </c>
      <c r="L153" s="70"/>
      <c r="M153" s="71">
        <v>5002.82421875</v>
      </c>
      <c r="N153" s="71">
        <v>1727.3553466796875</v>
      </c>
      <c r="O153" s="72"/>
      <c r="P153" s="73"/>
      <c r="Q153" s="73"/>
      <c r="R153" s="94"/>
      <c r="S153" s="45">
        <v>0</v>
      </c>
      <c r="T153" s="45">
        <v>1</v>
      </c>
      <c r="U153" s="46">
        <v>0</v>
      </c>
      <c r="V153" s="46">
        <v>0.046698</v>
      </c>
      <c r="W153" s="46">
        <v>0</v>
      </c>
      <c r="X153" s="46">
        <v>0.002058</v>
      </c>
      <c r="Y153" s="46">
        <v>0</v>
      </c>
      <c r="Z153" s="46">
        <v>0</v>
      </c>
      <c r="AA153" s="68">
        <v>153</v>
      </c>
      <c r="AB153" s="68"/>
      <c r="AC153" s="69"/>
      <c r="AD153" s="83" t="s">
        <v>1199</v>
      </c>
      <c r="AE153" s="83" t="s">
        <v>1981</v>
      </c>
      <c r="AF153" s="83"/>
      <c r="AG153" s="83"/>
      <c r="AH153" s="83"/>
      <c r="AI153" s="83" t="s">
        <v>2231</v>
      </c>
      <c r="AJ153" s="83" t="s">
        <v>2592</v>
      </c>
      <c r="AK153" s="89" t="str">
        <f>HYPERLINK("https://yt3.ggpht.com/ytc/AGIKgqPIZ3dM91c03kjCylBjnYpo11K_KVn1-QAdNULi=s88-c-k-c0x00ffffff-no-rj")</f>
        <v>https://yt3.ggpht.com/ytc/AGIKgqPIZ3dM91c03kjCylBjnYpo11K_KVn1-QAdNULi=s88-c-k-c0x00ffffff-no-rj</v>
      </c>
      <c r="AL153" s="83">
        <v>46005</v>
      </c>
      <c r="AM153" s="83">
        <v>0</v>
      </c>
      <c r="AN153" s="83">
        <v>90</v>
      </c>
      <c r="AO153" s="83" t="b">
        <v>0</v>
      </c>
      <c r="AP153" s="83">
        <v>56</v>
      </c>
      <c r="AQ153" s="83"/>
      <c r="AR153" s="83"/>
      <c r="AS153" s="83" t="s">
        <v>2744</v>
      </c>
      <c r="AT153" s="89" t="str">
        <f>HYPERLINK("https://www.youtube.com/channel/UCV7xNhQkzhRIwkxZ4SwJmfA")</f>
        <v>https://www.youtube.com/channel/UCV7xNhQkzhRIwkxZ4SwJmfA</v>
      </c>
      <c r="AU153" s="83" t="str">
        <f>REPLACE(INDEX(GroupVertices[Group],MATCH(Vertices[[#This Row],[Vertex]],GroupVertices[Vertex],0)),1,1,"")</f>
        <v>3</v>
      </c>
      <c r="AV153" s="45"/>
      <c r="AW153" s="46"/>
      <c r="AX153" s="45"/>
      <c r="AY153" s="46"/>
      <c r="AZ153" s="45"/>
      <c r="BA153" s="46"/>
      <c r="BB153" s="45"/>
      <c r="BC153" s="46"/>
      <c r="BD153" s="45"/>
      <c r="BE153" s="110" t="s">
        <v>1874</v>
      </c>
      <c r="BF153" s="110" t="s">
        <v>1874</v>
      </c>
      <c r="BG153" s="110" t="s">
        <v>1874</v>
      </c>
      <c r="BH153" s="110" t="s">
        <v>1874</v>
      </c>
      <c r="BI153" s="2"/>
    </row>
    <row r="154" spans="1:61" ht="15">
      <c r="A154" s="61" t="s">
        <v>362</v>
      </c>
      <c r="B154" s="62" t="s">
        <v>2893</v>
      </c>
      <c r="C154" s="62"/>
      <c r="D154" s="63">
        <v>100</v>
      </c>
      <c r="E154" s="65">
        <v>50</v>
      </c>
      <c r="F154" s="100" t="str">
        <f>HYPERLINK("https://yt3.ggpht.com/ytc/AGIKgqMkXXTfBjtMyrbC6xOJ2KELAIbBM-mXsolfcQ=s88-c-k-c0x00ffffff-no-rj")</f>
        <v>https://yt3.ggpht.com/ytc/AGIKgqMkXXTfBjtMyrbC6xOJ2KELAIbBM-mXsolfcQ=s88-c-k-c0x00ffffff-no-rj</v>
      </c>
      <c r="G154" s="62"/>
      <c r="H154" s="66" t="s">
        <v>1200</v>
      </c>
      <c r="I154" s="67"/>
      <c r="J154" s="67" t="s">
        <v>159</v>
      </c>
      <c r="K154" s="66" t="s">
        <v>1200</v>
      </c>
      <c r="L154" s="70"/>
      <c r="M154" s="71">
        <v>4663.76220703125</v>
      </c>
      <c r="N154" s="71">
        <v>1727.3553466796875</v>
      </c>
      <c r="O154" s="72"/>
      <c r="P154" s="73"/>
      <c r="Q154" s="73"/>
      <c r="R154" s="94"/>
      <c r="S154" s="45">
        <v>0</v>
      </c>
      <c r="T154" s="45">
        <v>1</v>
      </c>
      <c r="U154" s="46">
        <v>0</v>
      </c>
      <c r="V154" s="46">
        <v>0.046698</v>
      </c>
      <c r="W154" s="46">
        <v>0</v>
      </c>
      <c r="X154" s="46">
        <v>0.002058</v>
      </c>
      <c r="Y154" s="46">
        <v>0</v>
      </c>
      <c r="Z154" s="46">
        <v>0</v>
      </c>
      <c r="AA154" s="68">
        <v>154</v>
      </c>
      <c r="AB154" s="68"/>
      <c r="AC154" s="69"/>
      <c r="AD154" s="83" t="s">
        <v>1200</v>
      </c>
      <c r="AE154" s="83"/>
      <c r="AF154" s="83"/>
      <c r="AG154" s="83"/>
      <c r="AH154" s="83"/>
      <c r="AI154" s="83" t="s">
        <v>2232</v>
      </c>
      <c r="AJ154" s="83" t="s">
        <v>2593</v>
      </c>
      <c r="AK154" s="89" t="str">
        <f>HYPERLINK("https://yt3.ggpht.com/ytc/AGIKgqMkXXTfBjtMyrbC6xOJ2KELAIbBM-mXsolfcQ=s88-c-k-c0x00ffffff-no-rj")</f>
        <v>https://yt3.ggpht.com/ytc/AGIKgqMkXXTfBjtMyrbC6xOJ2KELAIbBM-mXsolfcQ=s88-c-k-c0x00ffffff-no-rj</v>
      </c>
      <c r="AL154" s="83">
        <v>173</v>
      </c>
      <c r="AM154" s="83">
        <v>0</v>
      </c>
      <c r="AN154" s="83">
        <v>0</v>
      </c>
      <c r="AO154" s="83" t="b">
        <v>0</v>
      </c>
      <c r="AP154" s="83">
        <v>3</v>
      </c>
      <c r="AQ154" s="83"/>
      <c r="AR154" s="83"/>
      <c r="AS154" s="83" t="s">
        <v>2744</v>
      </c>
      <c r="AT154" s="89" t="str">
        <f>HYPERLINK("https://www.youtube.com/channel/UCaLlHiSAUw1YPuAT9IUrMOw")</f>
        <v>https://www.youtube.com/channel/UCaLlHiSAUw1YPuAT9IUrMOw</v>
      </c>
      <c r="AU154" s="83" t="str">
        <f>REPLACE(INDEX(GroupVertices[Group],MATCH(Vertices[[#This Row],[Vertex]],GroupVertices[Vertex],0)),1,1,"")</f>
        <v>3</v>
      </c>
      <c r="AV154" s="45"/>
      <c r="AW154" s="46"/>
      <c r="AX154" s="45"/>
      <c r="AY154" s="46"/>
      <c r="AZ154" s="45"/>
      <c r="BA154" s="46"/>
      <c r="BB154" s="45"/>
      <c r="BC154" s="46"/>
      <c r="BD154" s="45"/>
      <c r="BE154" s="110" t="s">
        <v>1874</v>
      </c>
      <c r="BF154" s="110" t="s">
        <v>1874</v>
      </c>
      <c r="BG154" s="110" t="s">
        <v>1874</v>
      </c>
      <c r="BH154" s="110" t="s">
        <v>1874</v>
      </c>
      <c r="BI154" s="2"/>
    </row>
    <row r="155" spans="1:61" ht="15">
      <c r="A155" s="61" t="s">
        <v>363</v>
      </c>
      <c r="B155" s="62" t="s">
        <v>2893</v>
      </c>
      <c r="C155" s="62"/>
      <c r="D155" s="63">
        <v>100</v>
      </c>
      <c r="E155" s="65">
        <v>50</v>
      </c>
      <c r="F155" s="100" t="str">
        <f>HYPERLINK("https://yt3.ggpht.com/ytc/AGIKgqOb4eZ6G4aLr_pFFB0MG-Zfzsvdxh6MOLP5d4Dq=s88-c-k-c0x00ffffff-no-rj")</f>
        <v>https://yt3.ggpht.com/ytc/AGIKgqOb4eZ6G4aLr_pFFB0MG-Zfzsvdxh6MOLP5d4Dq=s88-c-k-c0x00ffffff-no-rj</v>
      </c>
      <c r="G155" s="62"/>
      <c r="H155" s="66" t="s">
        <v>1201</v>
      </c>
      <c r="I155" s="67"/>
      <c r="J155" s="67" t="s">
        <v>159</v>
      </c>
      <c r="K155" s="66" t="s">
        <v>1201</v>
      </c>
      <c r="L155" s="70"/>
      <c r="M155" s="71">
        <v>4324.70068359375</v>
      </c>
      <c r="N155" s="71">
        <v>1727.3553466796875</v>
      </c>
      <c r="O155" s="72"/>
      <c r="P155" s="73"/>
      <c r="Q155" s="73"/>
      <c r="R155" s="94"/>
      <c r="S155" s="45">
        <v>0</v>
      </c>
      <c r="T155" s="45">
        <v>1</v>
      </c>
      <c r="U155" s="46">
        <v>0</v>
      </c>
      <c r="V155" s="46">
        <v>0.046698</v>
      </c>
      <c r="W155" s="46">
        <v>0</v>
      </c>
      <c r="X155" s="46">
        <v>0.002058</v>
      </c>
      <c r="Y155" s="46">
        <v>0</v>
      </c>
      <c r="Z155" s="46">
        <v>0</v>
      </c>
      <c r="AA155" s="68">
        <v>155</v>
      </c>
      <c r="AB155" s="68"/>
      <c r="AC155" s="69"/>
      <c r="AD155" s="83" t="s">
        <v>1201</v>
      </c>
      <c r="AE155" s="83" t="s">
        <v>1982</v>
      </c>
      <c r="AF155" s="83"/>
      <c r="AG155" s="83"/>
      <c r="AH155" s="83"/>
      <c r="AI155" s="83" t="s">
        <v>2233</v>
      </c>
      <c r="AJ155" s="83" t="s">
        <v>2594</v>
      </c>
      <c r="AK155" s="89" t="str">
        <f>HYPERLINK("https://yt3.ggpht.com/ytc/AGIKgqOb4eZ6G4aLr_pFFB0MG-Zfzsvdxh6MOLP5d4Dq=s88-c-k-c0x00ffffff-no-rj")</f>
        <v>https://yt3.ggpht.com/ytc/AGIKgqOb4eZ6G4aLr_pFFB0MG-Zfzsvdxh6MOLP5d4Dq=s88-c-k-c0x00ffffff-no-rj</v>
      </c>
      <c r="AL155" s="83">
        <v>380280</v>
      </c>
      <c r="AM155" s="83">
        <v>0</v>
      </c>
      <c r="AN155" s="83">
        <v>179</v>
      </c>
      <c r="AO155" s="83" t="b">
        <v>0</v>
      </c>
      <c r="AP155" s="83">
        <v>5</v>
      </c>
      <c r="AQ155" s="83"/>
      <c r="AR155" s="83"/>
      <c r="AS155" s="83" t="s">
        <v>2744</v>
      </c>
      <c r="AT155" s="89" t="str">
        <f>HYPERLINK("https://www.youtube.com/channel/UCcn0cZGtTWygUug8CpHxv0Q")</f>
        <v>https://www.youtube.com/channel/UCcn0cZGtTWygUug8CpHxv0Q</v>
      </c>
      <c r="AU155" s="83" t="str">
        <f>REPLACE(INDEX(GroupVertices[Group],MATCH(Vertices[[#This Row],[Vertex]],GroupVertices[Vertex],0)),1,1,"")</f>
        <v>3</v>
      </c>
      <c r="AV155" s="45"/>
      <c r="AW155" s="46"/>
      <c r="AX155" s="45"/>
      <c r="AY155" s="46"/>
      <c r="AZ155" s="45"/>
      <c r="BA155" s="46"/>
      <c r="BB155" s="45"/>
      <c r="BC155" s="46"/>
      <c r="BD155" s="45"/>
      <c r="BE155" s="110" t="s">
        <v>1874</v>
      </c>
      <c r="BF155" s="110" t="s">
        <v>1874</v>
      </c>
      <c r="BG155" s="110" t="s">
        <v>1874</v>
      </c>
      <c r="BH155" s="110" t="s">
        <v>1874</v>
      </c>
      <c r="BI155" s="2"/>
    </row>
    <row r="156" spans="1:61" ht="15">
      <c r="A156" s="61" t="s">
        <v>364</v>
      </c>
      <c r="B156" s="62" t="s">
        <v>2893</v>
      </c>
      <c r="C156" s="62"/>
      <c r="D156" s="63">
        <v>100</v>
      </c>
      <c r="E156" s="65">
        <v>50</v>
      </c>
      <c r="F156" s="100" t="str">
        <f>HYPERLINK("https://yt3.ggpht.com/GeiAAaei4E8itmzntIkJGd0kpX_7FobHdEnrDvu-MIjjdjou-lGY7ZglSuCU8dqQ5CUcjsA5mbw=s88-c-k-c0x00ffffff-no-rj")</f>
        <v>https://yt3.ggpht.com/GeiAAaei4E8itmzntIkJGd0kpX_7FobHdEnrDvu-MIjjdjou-lGY7ZglSuCU8dqQ5CUcjsA5mbw=s88-c-k-c0x00ffffff-no-rj</v>
      </c>
      <c r="G156" s="62"/>
      <c r="H156" s="66" t="s">
        <v>1202</v>
      </c>
      <c r="I156" s="67"/>
      <c r="J156" s="67" t="s">
        <v>159</v>
      </c>
      <c r="K156" s="66" t="s">
        <v>1202</v>
      </c>
      <c r="L156" s="70"/>
      <c r="M156" s="71">
        <v>3985.638671875</v>
      </c>
      <c r="N156" s="71">
        <v>1727.3553466796875</v>
      </c>
      <c r="O156" s="72"/>
      <c r="P156" s="73"/>
      <c r="Q156" s="73"/>
      <c r="R156" s="94"/>
      <c r="S156" s="45">
        <v>0</v>
      </c>
      <c r="T156" s="45">
        <v>1</v>
      </c>
      <c r="U156" s="46">
        <v>0</v>
      </c>
      <c r="V156" s="46">
        <v>0.046698</v>
      </c>
      <c r="W156" s="46">
        <v>0</v>
      </c>
      <c r="X156" s="46">
        <v>0.002058</v>
      </c>
      <c r="Y156" s="46">
        <v>0</v>
      </c>
      <c r="Z156" s="46">
        <v>0</v>
      </c>
      <c r="AA156" s="68">
        <v>156</v>
      </c>
      <c r="AB156" s="68"/>
      <c r="AC156" s="69"/>
      <c r="AD156" s="83" t="s">
        <v>1202</v>
      </c>
      <c r="AE156" s="83"/>
      <c r="AF156" s="83"/>
      <c r="AG156" s="83"/>
      <c r="AH156" s="83"/>
      <c r="AI156" s="83" t="s">
        <v>2234</v>
      </c>
      <c r="AJ156" s="83" t="s">
        <v>2595</v>
      </c>
      <c r="AK156" s="89" t="str">
        <f>HYPERLINK("https://yt3.ggpht.com/GeiAAaei4E8itmzntIkJGd0kpX_7FobHdEnrDvu-MIjjdjou-lGY7ZglSuCU8dqQ5CUcjsA5mbw=s88-c-k-c0x00ffffff-no-rj")</f>
        <v>https://yt3.ggpht.com/GeiAAaei4E8itmzntIkJGd0kpX_7FobHdEnrDvu-MIjjdjou-lGY7ZglSuCU8dqQ5CUcjsA5mbw=s88-c-k-c0x00ffffff-no-rj</v>
      </c>
      <c r="AL156" s="83">
        <v>92438</v>
      </c>
      <c r="AM156" s="83">
        <v>0</v>
      </c>
      <c r="AN156" s="83">
        <v>95</v>
      </c>
      <c r="AO156" s="83" t="b">
        <v>0</v>
      </c>
      <c r="AP156" s="83">
        <v>5</v>
      </c>
      <c r="AQ156" s="83"/>
      <c r="AR156" s="83"/>
      <c r="AS156" s="83" t="s">
        <v>2744</v>
      </c>
      <c r="AT156" s="89" t="str">
        <f>HYPERLINK("https://www.youtube.com/channel/UCAlQVG7X6q6up2bp3uqiQJg")</f>
        <v>https://www.youtube.com/channel/UCAlQVG7X6q6up2bp3uqiQJg</v>
      </c>
      <c r="AU156" s="83" t="str">
        <f>REPLACE(INDEX(GroupVertices[Group],MATCH(Vertices[[#This Row],[Vertex]],GroupVertices[Vertex],0)),1,1,"")</f>
        <v>3</v>
      </c>
      <c r="AV156" s="45"/>
      <c r="AW156" s="46"/>
      <c r="AX156" s="45"/>
      <c r="AY156" s="46"/>
      <c r="AZ156" s="45"/>
      <c r="BA156" s="46"/>
      <c r="BB156" s="45"/>
      <c r="BC156" s="46"/>
      <c r="BD156" s="45"/>
      <c r="BE156" s="110" t="s">
        <v>1874</v>
      </c>
      <c r="BF156" s="110" t="s">
        <v>1874</v>
      </c>
      <c r="BG156" s="110" t="s">
        <v>1874</v>
      </c>
      <c r="BH156" s="110" t="s">
        <v>1874</v>
      </c>
      <c r="BI156" s="2"/>
    </row>
    <row r="157" spans="1:61" ht="15">
      <c r="A157" s="61" t="s">
        <v>365</v>
      </c>
      <c r="B157" s="62" t="s">
        <v>2893</v>
      </c>
      <c r="C157" s="62"/>
      <c r="D157" s="63">
        <v>100</v>
      </c>
      <c r="E157" s="65">
        <v>50</v>
      </c>
      <c r="F157" s="100" t="str">
        <f>HYPERLINK("https://yt3.ggpht.com/ytc/AGIKgqOOUbvo-FO3wE_bpESro9XN7EdgItn-UtWDjDe72A=s88-c-k-c0x00ffffff-no-rj")</f>
        <v>https://yt3.ggpht.com/ytc/AGIKgqOOUbvo-FO3wE_bpESro9XN7EdgItn-UtWDjDe72A=s88-c-k-c0x00ffffff-no-rj</v>
      </c>
      <c r="G157" s="62"/>
      <c r="H157" s="66" t="s">
        <v>1203</v>
      </c>
      <c r="I157" s="67"/>
      <c r="J157" s="67" t="s">
        <v>159</v>
      </c>
      <c r="K157" s="66" t="s">
        <v>1203</v>
      </c>
      <c r="L157" s="70"/>
      <c r="M157" s="71">
        <v>3646.576904296875</v>
      </c>
      <c r="N157" s="71">
        <v>1727.3553466796875</v>
      </c>
      <c r="O157" s="72"/>
      <c r="P157" s="73"/>
      <c r="Q157" s="73"/>
      <c r="R157" s="94"/>
      <c r="S157" s="45">
        <v>0</v>
      </c>
      <c r="T157" s="45">
        <v>1</v>
      </c>
      <c r="U157" s="46">
        <v>0</v>
      </c>
      <c r="V157" s="46">
        <v>0.046698</v>
      </c>
      <c r="W157" s="46">
        <v>0</v>
      </c>
      <c r="X157" s="46">
        <v>0.002058</v>
      </c>
      <c r="Y157" s="46">
        <v>0</v>
      </c>
      <c r="Z157" s="46">
        <v>0</v>
      </c>
      <c r="AA157" s="68">
        <v>157</v>
      </c>
      <c r="AB157" s="68"/>
      <c r="AC157" s="69"/>
      <c r="AD157" s="83" t="s">
        <v>1203</v>
      </c>
      <c r="AE157" s="83"/>
      <c r="AF157" s="83"/>
      <c r="AG157" s="83"/>
      <c r="AH157" s="83"/>
      <c r="AI157" s="83" t="s">
        <v>2235</v>
      </c>
      <c r="AJ157" s="83" t="s">
        <v>2596</v>
      </c>
      <c r="AK157" s="89" t="str">
        <f>HYPERLINK("https://yt3.ggpht.com/ytc/AGIKgqOOUbvo-FO3wE_bpESro9XN7EdgItn-UtWDjDe72A=s88-c-k-c0x00ffffff-no-rj")</f>
        <v>https://yt3.ggpht.com/ytc/AGIKgqOOUbvo-FO3wE_bpESro9XN7EdgItn-UtWDjDe72A=s88-c-k-c0x00ffffff-no-rj</v>
      </c>
      <c r="AL157" s="83">
        <v>0</v>
      </c>
      <c r="AM157" s="83">
        <v>0</v>
      </c>
      <c r="AN157" s="83">
        <v>0</v>
      </c>
      <c r="AO157" s="83" t="b">
        <v>0</v>
      </c>
      <c r="AP157" s="83">
        <v>0</v>
      </c>
      <c r="AQ157" s="83"/>
      <c r="AR157" s="83"/>
      <c r="AS157" s="83" t="s">
        <v>2744</v>
      </c>
      <c r="AT157" s="89" t="str">
        <f>HYPERLINK("https://www.youtube.com/channel/UChXAlJtwAr0jfbPXDxtE-yQ")</f>
        <v>https://www.youtube.com/channel/UChXAlJtwAr0jfbPXDxtE-yQ</v>
      </c>
      <c r="AU157" s="83" t="str">
        <f>REPLACE(INDEX(GroupVertices[Group],MATCH(Vertices[[#This Row],[Vertex]],GroupVertices[Vertex],0)),1,1,"")</f>
        <v>3</v>
      </c>
      <c r="AV157" s="45"/>
      <c r="AW157" s="46"/>
      <c r="AX157" s="45"/>
      <c r="AY157" s="46"/>
      <c r="AZ157" s="45"/>
      <c r="BA157" s="46"/>
      <c r="BB157" s="45"/>
      <c r="BC157" s="46"/>
      <c r="BD157" s="45"/>
      <c r="BE157" s="110" t="s">
        <v>1874</v>
      </c>
      <c r="BF157" s="110" t="s">
        <v>1874</v>
      </c>
      <c r="BG157" s="110" t="s">
        <v>1874</v>
      </c>
      <c r="BH157" s="110" t="s">
        <v>1874</v>
      </c>
      <c r="BI157" s="2"/>
    </row>
    <row r="158" spans="1:61" ht="15">
      <c r="A158" s="61" t="s">
        <v>366</v>
      </c>
      <c r="B158" s="62" t="s">
        <v>2893</v>
      </c>
      <c r="C158" s="62"/>
      <c r="D158" s="63">
        <v>100</v>
      </c>
      <c r="E158" s="65">
        <v>50</v>
      </c>
      <c r="F158" s="100" t="str">
        <f>HYPERLINK("https://yt3.ggpht.com/ytc/AGIKgqPSVxF_NNUFFgmh-1rXkdO4I0-9xL-Nvn9bHbg4nA=s88-c-k-c0x00ffffff-no-rj")</f>
        <v>https://yt3.ggpht.com/ytc/AGIKgqPSVxF_NNUFFgmh-1rXkdO4I0-9xL-Nvn9bHbg4nA=s88-c-k-c0x00ffffff-no-rj</v>
      </c>
      <c r="G158" s="62"/>
      <c r="H158" s="66" t="s">
        <v>1204</v>
      </c>
      <c r="I158" s="67"/>
      <c r="J158" s="67" t="s">
        <v>159</v>
      </c>
      <c r="K158" s="66" t="s">
        <v>1204</v>
      </c>
      <c r="L158" s="70"/>
      <c r="M158" s="71">
        <v>3307.514892578125</v>
      </c>
      <c r="N158" s="71">
        <v>1727.3553466796875</v>
      </c>
      <c r="O158" s="72"/>
      <c r="P158" s="73"/>
      <c r="Q158" s="73"/>
      <c r="R158" s="94"/>
      <c r="S158" s="45">
        <v>0</v>
      </c>
      <c r="T158" s="45">
        <v>1</v>
      </c>
      <c r="U158" s="46">
        <v>0</v>
      </c>
      <c r="V158" s="46">
        <v>0.046698</v>
      </c>
      <c r="W158" s="46">
        <v>0</v>
      </c>
      <c r="X158" s="46">
        <v>0.002058</v>
      </c>
      <c r="Y158" s="46">
        <v>0</v>
      </c>
      <c r="Z158" s="46">
        <v>0</v>
      </c>
      <c r="AA158" s="68">
        <v>158</v>
      </c>
      <c r="AB158" s="68"/>
      <c r="AC158" s="69"/>
      <c r="AD158" s="83" t="s">
        <v>1204</v>
      </c>
      <c r="AE158" s="83"/>
      <c r="AF158" s="83"/>
      <c r="AG158" s="83"/>
      <c r="AH158" s="83"/>
      <c r="AI158" s="83" t="s">
        <v>2236</v>
      </c>
      <c r="AJ158" s="92">
        <v>43132.29261574074</v>
      </c>
      <c r="AK158" s="89" t="str">
        <f>HYPERLINK("https://yt3.ggpht.com/ytc/AGIKgqPSVxF_NNUFFgmh-1rXkdO4I0-9xL-Nvn9bHbg4nA=s88-c-k-c0x00ffffff-no-rj")</f>
        <v>https://yt3.ggpht.com/ytc/AGIKgqPSVxF_NNUFFgmh-1rXkdO4I0-9xL-Nvn9bHbg4nA=s88-c-k-c0x00ffffff-no-rj</v>
      </c>
      <c r="AL158" s="83">
        <v>0</v>
      </c>
      <c r="AM158" s="83">
        <v>0</v>
      </c>
      <c r="AN158" s="83">
        <v>3</v>
      </c>
      <c r="AO158" s="83" t="b">
        <v>0</v>
      </c>
      <c r="AP158" s="83">
        <v>0</v>
      </c>
      <c r="AQ158" s="83"/>
      <c r="AR158" s="83"/>
      <c r="AS158" s="83" t="s">
        <v>2744</v>
      </c>
      <c r="AT158" s="89" t="str">
        <f>HYPERLINK("https://www.youtube.com/channel/UCV8NpeOl3tbwwa-NU-fB5pA")</f>
        <v>https://www.youtube.com/channel/UCV8NpeOl3tbwwa-NU-fB5pA</v>
      </c>
      <c r="AU158" s="83" t="str">
        <f>REPLACE(INDEX(GroupVertices[Group],MATCH(Vertices[[#This Row],[Vertex]],GroupVertices[Vertex],0)),1,1,"")</f>
        <v>3</v>
      </c>
      <c r="AV158" s="45"/>
      <c r="AW158" s="46"/>
      <c r="AX158" s="45"/>
      <c r="AY158" s="46"/>
      <c r="AZ158" s="45"/>
      <c r="BA158" s="46"/>
      <c r="BB158" s="45"/>
      <c r="BC158" s="46"/>
      <c r="BD158" s="45"/>
      <c r="BE158" s="110" t="s">
        <v>1874</v>
      </c>
      <c r="BF158" s="110" t="s">
        <v>1874</v>
      </c>
      <c r="BG158" s="110" t="s">
        <v>1874</v>
      </c>
      <c r="BH158" s="110" t="s">
        <v>1874</v>
      </c>
      <c r="BI158" s="2"/>
    </row>
    <row r="159" spans="1:61" ht="15">
      <c r="A159" s="61" t="s">
        <v>367</v>
      </c>
      <c r="B159" s="62" t="s">
        <v>2893</v>
      </c>
      <c r="C159" s="62"/>
      <c r="D159" s="63">
        <v>100</v>
      </c>
      <c r="E159" s="65">
        <v>50</v>
      </c>
      <c r="F159" s="100" t="str">
        <f>HYPERLINK("https://yt3.ggpht.com/ytc/AGIKgqMEOyG13Tfy5zlJBDq6R_U6thZ3jc4SBiGUjduaJw=s88-c-k-c0x00ffffff-no-rj")</f>
        <v>https://yt3.ggpht.com/ytc/AGIKgqMEOyG13Tfy5zlJBDq6R_U6thZ3jc4SBiGUjduaJw=s88-c-k-c0x00ffffff-no-rj</v>
      </c>
      <c r="G159" s="62"/>
      <c r="H159" s="66" t="s">
        <v>1205</v>
      </c>
      <c r="I159" s="67"/>
      <c r="J159" s="67" t="s">
        <v>159</v>
      </c>
      <c r="K159" s="66" t="s">
        <v>1205</v>
      </c>
      <c r="L159" s="70"/>
      <c r="M159" s="71">
        <v>2968.453125</v>
      </c>
      <c r="N159" s="71">
        <v>1727.3553466796875</v>
      </c>
      <c r="O159" s="72"/>
      <c r="P159" s="73"/>
      <c r="Q159" s="73"/>
      <c r="R159" s="94"/>
      <c r="S159" s="45">
        <v>0</v>
      </c>
      <c r="T159" s="45">
        <v>1</v>
      </c>
      <c r="U159" s="46">
        <v>0</v>
      </c>
      <c r="V159" s="46">
        <v>0.046698</v>
      </c>
      <c r="W159" s="46">
        <v>0</v>
      </c>
      <c r="X159" s="46">
        <v>0.002058</v>
      </c>
      <c r="Y159" s="46">
        <v>0</v>
      </c>
      <c r="Z159" s="46">
        <v>0</v>
      </c>
      <c r="AA159" s="68">
        <v>159</v>
      </c>
      <c r="AB159" s="68"/>
      <c r="AC159" s="69"/>
      <c r="AD159" s="83" t="s">
        <v>1205</v>
      </c>
      <c r="AE159" s="83"/>
      <c r="AF159" s="83"/>
      <c r="AG159" s="83"/>
      <c r="AH159" s="83"/>
      <c r="AI159" s="83" t="s">
        <v>2237</v>
      </c>
      <c r="AJ159" s="92">
        <v>41313.839641203704</v>
      </c>
      <c r="AK159" s="89" t="str">
        <f>HYPERLINK("https://yt3.ggpht.com/ytc/AGIKgqMEOyG13Tfy5zlJBDq6R_U6thZ3jc4SBiGUjduaJw=s88-c-k-c0x00ffffff-no-rj")</f>
        <v>https://yt3.ggpht.com/ytc/AGIKgqMEOyG13Tfy5zlJBDq6R_U6thZ3jc4SBiGUjduaJw=s88-c-k-c0x00ffffff-no-rj</v>
      </c>
      <c r="AL159" s="83">
        <v>0</v>
      </c>
      <c r="AM159" s="83">
        <v>0</v>
      </c>
      <c r="AN159" s="83">
        <v>9</v>
      </c>
      <c r="AO159" s="83" t="b">
        <v>0</v>
      </c>
      <c r="AP159" s="83">
        <v>0</v>
      </c>
      <c r="AQ159" s="83"/>
      <c r="AR159" s="83"/>
      <c r="AS159" s="83" t="s">
        <v>2744</v>
      </c>
      <c r="AT159" s="89" t="str">
        <f>HYPERLINK("https://www.youtube.com/channel/UCC4NG14Z3qrcu9bS842aLWQ")</f>
        <v>https://www.youtube.com/channel/UCC4NG14Z3qrcu9bS842aLWQ</v>
      </c>
      <c r="AU159" s="83" t="str">
        <f>REPLACE(INDEX(GroupVertices[Group],MATCH(Vertices[[#This Row],[Vertex]],GroupVertices[Vertex],0)),1,1,"")</f>
        <v>3</v>
      </c>
      <c r="AV159" s="45"/>
      <c r="AW159" s="46"/>
      <c r="AX159" s="45"/>
      <c r="AY159" s="46"/>
      <c r="AZ159" s="45"/>
      <c r="BA159" s="46"/>
      <c r="BB159" s="45"/>
      <c r="BC159" s="46"/>
      <c r="BD159" s="45"/>
      <c r="BE159" s="110" t="s">
        <v>1874</v>
      </c>
      <c r="BF159" s="110" t="s">
        <v>1874</v>
      </c>
      <c r="BG159" s="110" t="s">
        <v>1874</v>
      </c>
      <c r="BH159" s="110" t="s">
        <v>1874</v>
      </c>
      <c r="BI159" s="2"/>
    </row>
    <row r="160" spans="1:61" ht="15">
      <c r="A160" s="61" t="s">
        <v>368</v>
      </c>
      <c r="B160" s="62" t="s">
        <v>2893</v>
      </c>
      <c r="C160" s="62"/>
      <c r="D160" s="63">
        <v>100</v>
      </c>
      <c r="E160" s="65">
        <v>50</v>
      </c>
      <c r="F160" s="100" t="str">
        <f>HYPERLINK("https://yt3.ggpht.com/m38EkBewsrgZ-xmDhAdkPWfqbjDUfWriSOljKZW8c7pm3EMjzuYlXkn8VNyxESkH5O-WDeT7cA=s88-c-k-c0x00ffffff-no-rj")</f>
        <v>https://yt3.ggpht.com/m38EkBewsrgZ-xmDhAdkPWfqbjDUfWriSOljKZW8c7pm3EMjzuYlXkn8VNyxESkH5O-WDeT7cA=s88-c-k-c0x00ffffff-no-rj</v>
      </c>
      <c r="G160" s="62"/>
      <c r="H160" s="66" t="s">
        <v>1206</v>
      </c>
      <c r="I160" s="67"/>
      <c r="J160" s="67" t="s">
        <v>159</v>
      </c>
      <c r="K160" s="66" t="s">
        <v>1206</v>
      </c>
      <c r="L160" s="70"/>
      <c r="M160" s="71">
        <v>2629.391357421875</v>
      </c>
      <c r="N160" s="71">
        <v>1727.3553466796875</v>
      </c>
      <c r="O160" s="72"/>
      <c r="P160" s="73"/>
      <c r="Q160" s="73"/>
      <c r="R160" s="94"/>
      <c r="S160" s="45">
        <v>0</v>
      </c>
      <c r="T160" s="45">
        <v>1</v>
      </c>
      <c r="U160" s="46">
        <v>0</v>
      </c>
      <c r="V160" s="46">
        <v>0.046698</v>
      </c>
      <c r="W160" s="46">
        <v>0</v>
      </c>
      <c r="X160" s="46">
        <v>0.002058</v>
      </c>
      <c r="Y160" s="46">
        <v>0</v>
      </c>
      <c r="Z160" s="46">
        <v>0</v>
      </c>
      <c r="AA160" s="68">
        <v>160</v>
      </c>
      <c r="AB160" s="68"/>
      <c r="AC160" s="69"/>
      <c r="AD160" s="83" t="s">
        <v>1206</v>
      </c>
      <c r="AE160" s="83" t="s">
        <v>1983</v>
      </c>
      <c r="AF160" s="83"/>
      <c r="AG160" s="83"/>
      <c r="AH160" s="83"/>
      <c r="AI160" s="83" t="s">
        <v>2238</v>
      </c>
      <c r="AJ160" s="92">
        <v>40972.51318287037</v>
      </c>
      <c r="AK160" s="89" t="str">
        <f>HYPERLINK("https://yt3.ggpht.com/m38EkBewsrgZ-xmDhAdkPWfqbjDUfWriSOljKZW8c7pm3EMjzuYlXkn8VNyxESkH5O-WDeT7cA=s88-c-k-c0x00ffffff-no-rj")</f>
        <v>https://yt3.ggpht.com/m38EkBewsrgZ-xmDhAdkPWfqbjDUfWriSOljKZW8c7pm3EMjzuYlXkn8VNyxESkH5O-WDeT7cA=s88-c-k-c0x00ffffff-no-rj</v>
      </c>
      <c r="AL160" s="83">
        <v>193824</v>
      </c>
      <c r="AM160" s="83">
        <v>0</v>
      </c>
      <c r="AN160" s="83">
        <v>124</v>
      </c>
      <c r="AO160" s="83" t="b">
        <v>0</v>
      </c>
      <c r="AP160" s="83">
        <v>144</v>
      </c>
      <c r="AQ160" s="83"/>
      <c r="AR160" s="83"/>
      <c r="AS160" s="83" t="s">
        <v>2744</v>
      </c>
      <c r="AT160" s="89" t="str">
        <f>HYPERLINK("https://www.youtube.com/channel/UCGl6y17ZnOoHzf2p-siY-ig")</f>
        <v>https://www.youtube.com/channel/UCGl6y17ZnOoHzf2p-siY-ig</v>
      </c>
      <c r="AU160" s="83" t="str">
        <f>REPLACE(INDEX(GroupVertices[Group],MATCH(Vertices[[#This Row],[Vertex]],GroupVertices[Vertex],0)),1,1,"")</f>
        <v>3</v>
      </c>
      <c r="AV160" s="45"/>
      <c r="AW160" s="46"/>
      <c r="AX160" s="45"/>
      <c r="AY160" s="46"/>
      <c r="AZ160" s="45"/>
      <c r="BA160" s="46"/>
      <c r="BB160" s="45"/>
      <c r="BC160" s="46"/>
      <c r="BD160" s="45"/>
      <c r="BE160" s="110" t="s">
        <v>1874</v>
      </c>
      <c r="BF160" s="110" t="s">
        <v>1874</v>
      </c>
      <c r="BG160" s="110" t="s">
        <v>1874</v>
      </c>
      <c r="BH160" s="110" t="s">
        <v>1874</v>
      </c>
      <c r="BI160" s="2"/>
    </row>
    <row r="161" spans="1:61" ht="15">
      <c r="A161" s="61" t="s">
        <v>369</v>
      </c>
      <c r="B161" s="62" t="s">
        <v>2893</v>
      </c>
      <c r="C161" s="62"/>
      <c r="D161" s="63">
        <v>100</v>
      </c>
      <c r="E161" s="65">
        <v>50</v>
      </c>
      <c r="F161" s="100" t="str">
        <f>HYPERLINK("https://yt3.ggpht.com/ytc/AGIKgqOinJZySC_yEqHtJ-StPnNMled6_ntUXsDy0Q=s88-c-k-c0x00ffffff-no-rj")</f>
        <v>https://yt3.ggpht.com/ytc/AGIKgqOinJZySC_yEqHtJ-StPnNMled6_ntUXsDy0Q=s88-c-k-c0x00ffffff-no-rj</v>
      </c>
      <c r="G161" s="62"/>
      <c r="H161" s="66" t="s">
        <v>1207</v>
      </c>
      <c r="I161" s="67"/>
      <c r="J161" s="67" t="s">
        <v>159</v>
      </c>
      <c r="K161" s="66" t="s">
        <v>1207</v>
      </c>
      <c r="L161" s="70"/>
      <c r="M161" s="71">
        <v>5002.82421875</v>
      </c>
      <c r="N161" s="71">
        <v>2305.94921875</v>
      </c>
      <c r="O161" s="72"/>
      <c r="P161" s="73"/>
      <c r="Q161" s="73"/>
      <c r="R161" s="94"/>
      <c r="S161" s="45">
        <v>0</v>
      </c>
      <c r="T161" s="45">
        <v>1</v>
      </c>
      <c r="U161" s="46">
        <v>0</v>
      </c>
      <c r="V161" s="46">
        <v>0.046698</v>
      </c>
      <c r="W161" s="46">
        <v>0</v>
      </c>
      <c r="X161" s="46">
        <v>0.002058</v>
      </c>
      <c r="Y161" s="46">
        <v>0</v>
      </c>
      <c r="Z161" s="46">
        <v>0</v>
      </c>
      <c r="AA161" s="68">
        <v>161</v>
      </c>
      <c r="AB161" s="68"/>
      <c r="AC161" s="69"/>
      <c r="AD161" s="83" t="s">
        <v>1207</v>
      </c>
      <c r="AE161" s="83"/>
      <c r="AF161" s="83"/>
      <c r="AG161" s="83"/>
      <c r="AH161" s="83"/>
      <c r="AI161" s="83" t="s">
        <v>2239</v>
      </c>
      <c r="AJ161" s="83" t="s">
        <v>2597</v>
      </c>
      <c r="AK161" s="89" t="str">
        <f>HYPERLINK("https://yt3.ggpht.com/ytc/AGIKgqOinJZySC_yEqHtJ-StPnNMled6_ntUXsDy0Q=s88-c-k-c0x00ffffff-no-rj")</f>
        <v>https://yt3.ggpht.com/ytc/AGIKgqOinJZySC_yEqHtJ-StPnNMled6_ntUXsDy0Q=s88-c-k-c0x00ffffff-no-rj</v>
      </c>
      <c r="AL161" s="83">
        <v>0</v>
      </c>
      <c r="AM161" s="83">
        <v>0</v>
      </c>
      <c r="AN161" s="83">
        <v>0</v>
      </c>
      <c r="AO161" s="83" t="b">
        <v>0</v>
      </c>
      <c r="AP161" s="83">
        <v>0</v>
      </c>
      <c r="AQ161" s="83"/>
      <c r="AR161" s="83"/>
      <c r="AS161" s="83" t="s">
        <v>2744</v>
      </c>
      <c r="AT161" s="89" t="str">
        <f>HYPERLINK("https://www.youtube.com/channel/UCITbQaITvD5Qpg4ByBhcaSw")</f>
        <v>https://www.youtube.com/channel/UCITbQaITvD5Qpg4ByBhcaSw</v>
      </c>
      <c r="AU161" s="83" t="str">
        <f>REPLACE(INDEX(GroupVertices[Group],MATCH(Vertices[[#This Row],[Vertex]],GroupVertices[Vertex],0)),1,1,"")</f>
        <v>3</v>
      </c>
      <c r="AV161" s="45"/>
      <c r="AW161" s="46"/>
      <c r="AX161" s="45"/>
      <c r="AY161" s="46"/>
      <c r="AZ161" s="45"/>
      <c r="BA161" s="46"/>
      <c r="BB161" s="45"/>
      <c r="BC161" s="46"/>
      <c r="BD161" s="45"/>
      <c r="BE161" s="110" t="s">
        <v>1874</v>
      </c>
      <c r="BF161" s="110" t="s">
        <v>1874</v>
      </c>
      <c r="BG161" s="110" t="s">
        <v>1874</v>
      </c>
      <c r="BH161" s="110" t="s">
        <v>1874</v>
      </c>
      <c r="BI161" s="2"/>
    </row>
    <row r="162" spans="1:61" ht="15">
      <c r="A162" s="61" t="s">
        <v>370</v>
      </c>
      <c r="B162" s="62" t="s">
        <v>2893</v>
      </c>
      <c r="C162" s="62"/>
      <c r="D162" s="63">
        <v>100</v>
      </c>
      <c r="E162" s="65">
        <v>50</v>
      </c>
      <c r="F162" s="100" t="str">
        <f>HYPERLINK("https://yt3.ggpht.com/ytc/AGIKgqPLVd8n9k2tvp6cMyYkmXX0WlJMsN6E9qR3RlvdKQ=s88-c-k-c0x00ffffff-no-rj")</f>
        <v>https://yt3.ggpht.com/ytc/AGIKgqPLVd8n9k2tvp6cMyYkmXX0WlJMsN6E9qR3RlvdKQ=s88-c-k-c0x00ffffff-no-rj</v>
      </c>
      <c r="G162" s="62"/>
      <c r="H162" s="66" t="s">
        <v>1208</v>
      </c>
      <c r="I162" s="67"/>
      <c r="J162" s="67" t="s">
        <v>159</v>
      </c>
      <c r="K162" s="66" t="s">
        <v>1208</v>
      </c>
      <c r="L162" s="70"/>
      <c r="M162" s="71">
        <v>4663.76220703125</v>
      </c>
      <c r="N162" s="71">
        <v>2305.94921875</v>
      </c>
      <c r="O162" s="72"/>
      <c r="P162" s="73"/>
      <c r="Q162" s="73"/>
      <c r="R162" s="94"/>
      <c r="S162" s="45">
        <v>0</v>
      </c>
      <c r="T162" s="45">
        <v>1</v>
      </c>
      <c r="U162" s="46">
        <v>0</v>
      </c>
      <c r="V162" s="46">
        <v>0.046698</v>
      </c>
      <c r="W162" s="46">
        <v>0</v>
      </c>
      <c r="X162" s="46">
        <v>0.002058</v>
      </c>
      <c r="Y162" s="46">
        <v>0</v>
      </c>
      <c r="Z162" s="46">
        <v>0</v>
      </c>
      <c r="AA162" s="68">
        <v>162</v>
      </c>
      <c r="AB162" s="68"/>
      <c r="AC162" s="69"/>
      <c r="AD162" s="83" t="s">
        <v>1208</v>
      </c>
      <c r="AE162" s="83" t="s">
        <v>1984</v>
      </c>
      <c r="AF162" s="83"/>
      <c r="AG162" s="83"/>
      <c r="AH162" s="83"/>
      <c r="AI162" s="83" t="s">
        <v>2240</v>
      </c>
      <c r="AJ162" s="92">
        <v>42309.658217592594</v>
      </c>
      <c r="AK162" s="89" t="str">
        <f>HYPERLINK("https://yt3.ggpht.com/ytc/AGIKgqPLVd8n9k2tvp6cMyYkmXX0WlJMsN6E9qR3RlvdKQ=s88-c-k-c0x00ffffff-no-rj")</f>
        <v>https://yt3.ggpht.com/ytc/AGIKgqPLVd8n9k2tvp6cMyYkmXX0WlJMsN6E9qR3RlvdKQ=s88-c-k-c0x00ffffff-no-rj</v>
      </c>
      <c r="AL162" s="83">
        <v>0</v>
      </c>
      <c r="AM162" s="83">
        <v>0</v>
      </c>
      <c r="AN162" s="83">
        <v>12</v>
      </c>
      <c r="AO162" s="83" t="b">
        <v>0</v>
      </c>
      <c r="AP162" s="83">
        <v>0</v>
      </c>
      <c r="AQ162" s="83"/>
      <c r="AR162" s="83"/>
      <c r="AS162" s="83" t="s">
        <v>2744</v>
      </c>
      <c r="AT162" s="89" t="str">
        <f>HYPERLINK("https://www.youtube.com/channel/UClGpecWoJmpcG9uBcKUUhnA")</f>
        <v>https://www.youtube.com/channel/UClGpecWoJmpcG9uBcKUUhnA</v>
      </c>
      <c r="AU162" s="83" t="str">
        <f>REPLACE(INDEX(GroupVertices[Group],MATCH(Vertices[[#This Row],[Vertex]],GroupVertices[Vertex],0)),1,1,"")</f>
        <v>3</v>
      </c>
      <c r="AV162" s="45"/>
      <c r="AW162" s="46"/>
      <c r="AX162" s="45"/>
      <c r="AY162" s="46"/>
      <c r="AZ162" s="45"/>
      <c r="BA162" s="46"/>
      <c r="BB162" s="45"/>
      <c r="BC162" s="46"/>
      <c r="BD162" s="45"/>
      <c r="BE162" s="110" t="s">
        <v>1874</v>
      </c>
      <c r="BF162" s="110" t="s">
        <v>1874</v>
      </c>
      <c r="BG162" s="110" t="s">
        <v>1874</v>
      </c>
      <c r="BH162" s="110" t="s">
        <v>1874</v>
      </c>
      <c r="BI162" s="2"/>
    </row>
    <row r="163" spans="1:61" ht="15">
      <c r="A163" s="61" t="s">
        <v>371</v>
      </c>
      <c r="B163" s="62" t="s">
        <v>2893</v>
      </c>
      <c r="C163" s="62"/>
      <c r="D163" s="63">
        <v>100</v>
      </c>
      <c r="E163" s="65">
        <v>50</v>
      </c>
      <c r="F163" s="100" t="str">
        <f>HYPERLINK("https://yt3.ggpht.com/ytc/AGIKgqO1W0fy95LsBBLUpXJfoqgXsvY8MBqSO6-ZZg=s88-c-k-c0x00ffffff-no-rj")</f>
        <v>https://yt3.ggpht.com/ytc/AGIKgqO1W0fy95LsBBLUpXJfoqgXsvY8MBqSO6-ZZg=s88-c-k-c0x00ffffff-no-rj</v>
      </c>
      <c r="G163" s="62"/>
      <c r="H163" s="66" t="s">
        <v>1209</v>
      </c>
      <c r="I163" s="67"/>
      <c r="J163" s="67" t="s">
        <v>159</v>
      </c>
      <c r="K163" s="66" t="s">
        <v>1209</v>
      </c>
      <c r="L163" s="70"/>
      <c r="M163" s="71">
        <v>4324.70068359375</v>
      </c>
      <c r="N163" s="71">
        <v>2305.94921875</v>
      </c>
      <c r="O163" s="72"/>
      <c r="P163" s="73"/>
      <c r="Q163" s="73"/>
      <c r="R163" s="94"/>
      <c r="S163" s="45">
        <v>0</v>
      </c>
      <c r="T163" s="45">
        <v>1</v>
      </c>
      <c r="U163" s="46">
        <v>0</v>
      </c>
      <c r="V163" s="46">
        <v>0.046698</v>
      </c>
      <c r="W163" s="46">
        <v>0</v>
      </c>
      <c r="X163" s="46">
        <v>0.002058</v>
      </c>
      <c r="Y163" s="46">
        <v>0</v>
      </c>
      <c r="Z163" s="46">
        <v>0</v>
      </c>
      <c r="AA163" s="68">
        <v>163</v>
      </c>
      <c r="AB163" s="68"/>
      <c r="AC163" s="69"/>
      <c r="AD163" s="83" t="s">
        <v>1209</v>
      </c>
      <c r="AE163" s="83"/>
      <c r="AF163" s="83"/>
      <c r="AG163" s="83"/>
      <c r="AH163" s="83"/>
      <c r="AI163" s="83" t="s">
        <v>2241</v>
      </c>
      <c r="AJ163" s="92">
        <v>39511.267384259256</v>
      </c>
      <c r="AK163" s="89" t="str">
        <f>HYPERLINK("https://yt3.ggpht.com/ytc/AGIKgqO1W0fy95LsBBLUpXJfoqgXsvY8MBqSO6-ZZg=s88-c-k-c0x00ffffff-no-rj")</f>
        <v>https://yt3.ggpht.com/ytc/AGIKgqO1W0fy95LsBBLUpXJfoqgXsvY8MBqSO6-ZZg=s88-c-k-c0x00ffffff-no-rj</v>
      </c>
      <c r="AL163" s="83">
        <v>0</v>
      </c>
      <c r="AM163" s="83">
        <v>0</v>
      </c>
      <c r="AN163" s="83">
        <v>10</v>
      </c>
      <c r="AO163" s="83" t="b">
        <v>0</v>
      </c>
      <c r="AP163" s="83">
        <v>0</v>
      </c>
      <c r="AQ163" s="83"/>
      <c r="AR163" s="83"/>
      <c r="AS163" s="83" t="s">
        <v>2744</v>
      </c>
      <c r="AT163" s="89" t="str">
        <f>HYPERLINK("https://www.youtube.com/channel/UCXrQz4atK_NHL3_unEYsntg")</f>
        <v>https://www.youtube.com/channel/UCXrQz4atK_NHL3_unEYsntg</v>
      </c>
      <c r="AU163" s="83" t="str">
        <f>REPLACE(INDEX(GroupVertices[Group],MATCH(Vertices[[#This Row],[Vertex]],GroupVertices[Vertex],0)),1,1,"")</f>
        <v>3</v>
      </c>
      <c r="AV163" s="45"/>
      <c r="AW163" s="46"/>
      <c r="AX163" s="45"/>
      <c r="AY163" s="46"/>
      <c r="AZ163" s="45"/>
      <c r="BA163" s="46"/>
      <c r="BB163" s="45"/>
      <c r="BC163" s="46"/>
      <c r="BD163" s="45"/>
      <c r="BE163" s="110" t="s">
        <v>1874</v>
      </c>
      <c r="BF163" s="110" t="s">
        <v>1874</v>
      </c>
      <c r="BG163" s="110" t="s">
        <v>1874</v>
      </c>
      <c r="BH163" s="110" t="s">
        <v>1874</v>
      </c>
      <c r="BI163" s="2"/>
    </row>
    <row r="164" spans="1:61" ht="15">
      <c r="A164" s="61" t="s">
        <v>372</v>
      </c>
      <c r="B164" s="62" t="s">
        <v>2893</v>
      </c>
      <c r="C164" s="62"/>
      <c r="D164" s="63">
        <v>100</v>
      </c>
      <c r="E164" s="65">
        <v>50</v>
      </c>
      <c r="F164" s="100" t="str">
        <f>HYPERLINK("https://yt3.ggpht.com/ytc/AGIKgqMr3GqrragnYNGQpCUtUaet3KopJZoiHldcjfW01w=s88-c-k-c0x00ffffff-no-rj")</f>
        <v>https://yt3.ggpht.com/ytc/AGIKgqMr3GqrragnYNGQpCUtUaet3KopJZoiHldcjfW01w=s88-c-k-c0x00ffffff-no-rj</v>
      </c>
      <c r="G164" s="62"/>
      <c r="H164" s="66" t="s">
        <v>1210</v>
      </c>
      <c r="I164" s="67"/>
      <c r="J164" s="67" t="s">
        <v>159</v>
      </c>
      <c r="K164" s="66" t="s">
        <v>1210</v>
      </c>
      <c r="L164" s="70"/>
      <c r="M164" s="71">
        <v>3985.638671875</v>
      </c>
      <c r="N164" s="71">
        <v>2305.94921875</v>
      </c>
      <c r="O164" s="72"/>
      <c r="P164" s="73"/>
      <c r="Q164" s="73"/>
      <c r="R164" s="94"/>
      <c r="S164" s="45">
        <v>0</v>
      </c>
      <c r="T164" s="45">
        <v>1</v>
      </c>
      <c r="U164" s="46">
        <v>0</v>
      </c>
      <c r="V164" s="46">
        <v>0.046698</v>
      </c>
      <c r="W164" s="46">
        <v>0</v>
      </c>
      <c r="X164" s="46">
        <v>0.002058</v>
      </c>
      <c r="Y164" s="46">
        <v>0</v>
      </c>
      <c r="Z164" s="46">
        <v>0</v>
      </c>
      <c r="AA164" s="68">
        <v>164</v>
      </c>
      <c r="AB164" s="68"/>
      <c r="AC164" s="69"/>
      <c r="AD164" s="83" t="s">
        <v>1210</v>
      </c>
      <c r="AE164" s="83"/>
      <c r="AF164" s="83"/>
      <c r="AG164" s="83"/>
      <c r="AH164" s="83"/>
      <c r="AI164" s="83" t="s">
        <v>2242</v>
      </c>
      <c r="AJ164" s="92">
        <v>42440.40099537037</v>
      </c>
      <c r="AK164" s="89" t="str">
        <f>HYPERLINK("https://yt3.ggpht.com/ytc/AGIKgqMr3GqrragnYNGQpCUtUaet3KopJZoiHldcjfW01w=s88-c-k-c0x00ffffff-no-rj")</f>
        <v>https://yt3.ggpht.com/ytc/AGIKgqMr3GqrragnYNGQpCUtUaet3KopJZoiHldcjfW01w=s88-c-k-c0x00ffffff-no-rj</v>
      </c>
      <c r="AL164" s="83">
        <v>0</v>
      </c>
      <c r="AM164" s="83">
        <v>0</v>
      </c>
      <c r="AN164" s="83">
        <v>22</v>
      </c>
      <c r="AO164" s="83" t="b">
        <v>0</v>
      </c>
      <c r="AP164" s="83">
        <v>0</v>
      </c>
      <c r="AQ164" s="83"/>
      <c r="AR164" s="83"/>
      <c r="AS164" s="83" t="s">
        <v>2744</v>
      </c>
      <c r="AT164" s="89" t="str">
        <f>HYPERLINK("https://www.youtube.com/channel/UCV5q9jHkCWujPT_lJOzakoA")</f>
        <v>https://www.youtube.com/channel/UCV5q9jHkCWujPT_lJOzakoA</v>
      </c>
      <c r="AU164" s="83" t="str">
        <f>REPLACE(INDEX(GroupVertices[Group],MATCH(Vertices[[#This Row],[Vertex]],GroupVertices[Vertex],0)),1,1,"")</f>
        <v>3</v>
      </c>
      <c r="AV164" s="45"/>
      <c r="AW164" s="46"/>
      <c r="AX164" s="45"/>
      <c r="AY164" s="46"/>
      <c r="AZ164" s="45"/>
      <c r="BA164" s="46"/>
      <c r="BB164" s="45"/>
      <c r="BC164" s="46"/>
      <c r="BD164" s="45"/>
      <c r="BE164" s="110" t="s">
        <v>1874</v>
      </c>
      <c r="BF164" s="110" t="s">
        <v>1874</v>
      </c>
      <c r="BG164" s="110" t="s">
        <v>1874</v>
      </c>
      <c r="BH164" s="110" t="s">
        <v>1874</v>
      </c>
      <c r="BI164" s="2"/>
    </row>
    <row r="165" spans="1:61" ht="15">
      <c r="A165" s="61" t="s">
        <v>373</v>
      </c>
      <c r="B165" s="62" t="s">
        <v>2893</v>
      </c>
      <c r="C165" s="62"/>
      <c r="D165" s="63">
        <v>100</v>
      </c>
      <c r="E165" s="65">
        <v>50</v>
      </c>
      <c r="F165" s="100" t="str">
        <f>HYPERLINK("https://yt3.ggpht.com/ytc/AGIKgqNv6wK0AIPAljZhbB-yeT8XZ-AkkvbMhmfUiGfaIw=s88-c-k-c0x00ffffff-no-rj")</f>
        <v>https://yt3.ggpht.com/ytc/AGIKgqNv6wK0AIPAljZhbB-yeT8XZ-AkkvbMhmfUiGfaIw=s88-c-k-c0x00ffffff-no-rj</v>
      </c>
      <c r="G165" s="62"/>
      <c r="H165" s="66" t="s">
        <v>1211</v>
      </c>
      <c r="I165" s="67"/>
      <c r="J165" s="67" t="s">
        <v>159</v>
      </c>
      <c r="K165" s="66" t="s">
        <v>1211</v>
      </c>
      <c r="L165" s="70"/>
      <c r="M165" s="71">
        <v>3646.576904296875</v>
      </c>
      <c r="N165" s="71">
        <v>2305.94921875</v>
      </c>
      <c r="O165" s="72"/>
      <c r="P165" s="73"/>
      <c r="Q165" s="73"/>
      <c r="R165" s="94"/>
      <c r="S165" s="45">
        <v>0</v>
      </c>
      <c r="T165" s="45">
        <v>1</v>
      </c>
      <c r="U165" s="46">
        <v>0</v>
      </c>
      <c r="V165" s="46">
        <v>0.046698</v>
      </c>
      <c r="W165" s="46">
        <v>0</v>
      </c>
      <c r="X165" s="46">
        <v>0.002058</v>
      </c>
      <c r="Y165" s="46">
        <v>0</v>
      </c>
      <c r="Z165" s="46">
        <v>0</v>
      </c>
      <c r="AA165" s="68">
        <v>165</v>
      </c>
      <c r="AB165" s="68"/>
      <c r="AC165" s="69"/>
      <c r="AD165" s="83" t="s">
        <v>1211</v>
      </c>
      <c r="AE165" s="83" t="s">
        <v>1985</v>
      </c>
      <c r="AF165" s="83"/>
      <c r="AG165" s="83"/>
      <c r="AH165" s="83"/>
      <c r="AI165" s="83" t="s">
        <v>2243</v>
      </c>
      <c r="AJ165" s="92">
        <v>41821.61783564815</v>
      </c>
      <c r="AK165" s="89" t="str">
        <f>HYPERLINK("https://yt3.ggpht.com/ytc/AGIKgqNv6wK0AIPAljZhbB-yeT8XZ-AkkvbMhmfUiGfaIw=s88-c-k-c0x00ffffff-no-rj")</f>
        <v>https://yt3.ggpht.com/ytc/AGIKgqNv6wK0AIPAljZhbB-yeT8XZ-AkkvbMhmfUiGfaIw=s88-c-k-c0x00ffffff-no-rj</v>
      </c>
      <c r="AL165" s="83">
        <v>15150</v>
      </c>
      <c r="AM165" s="83">
        <v>0</v>
      </c>
      <c r="AN165" s="83">
        <v>73</v>
      </c>
      <c r="AO165" s="83" t="b">
        <v>0</v>
      </c>
      <c r="AP165" s="83">
        <v>54</v>
      </c>
      <c r="AQ165" s="83"/>
      <c r="AR165" s="83"/>
      <c r="AS165" s="83" t="s">
        <v>2744</v>
      </c>
      <c r="AT165" s="89" t="str">
        <f>HYPERLINK("https://www.youtube.com/channel/UCuES1hL9IQLMyztR5mEU2wg")</f>
        <v>https://www.youtube.com/channel/UCuES1hL9IQLMyztR5mEU2wg</v>
      </c>
      <c r="AU165" s="83" t="str">
        <f>REPLACE(INDEX(GroupVertices[Group],MATCH(Vertices[[#This Row],[Vertex]],GroupVertices[Vertex],0)),1,1,"")</f>
        <v>3</v>
      </c>
      <c r="AV165" s="45"/>
      <c r="AW165" s="46"/>
      <c r="AX165" s="45"/>
      <c r="AY165" s="46"/>
      <c r="AZ165" s="45"/>
      <c r="BA165" s="46"/>
      <c r="BB165" s="45"/>
      <c r="BC165" s="46"/>
      <c r="BD165" s="45"/>
      <c r="BE165" s="110" t="s">
        <v>1874</v>
      </c>
      <c r="BF165" s="110" t="s">
        <v>1874</v>
      </c>
      <c r="BG165" s="110" t="s">
        <v>1874</v>
      </c>
      <c r="BH165" s="110" t="s">
        <v>1874</v>
      </c>
      <c r="BI165" s="2"/>
    </row>
    <row r="166" spans="1:61" ht="15">
      <c r="A166" s="61" t="s">
        <v>374</v>
      </c>
      <c r="B166" s="62" t="s">
        <v>2893</v>
      </c>
      <c r="C166" s="62"/>
      <c r="D166" s="63">
        <v>100</v>
      </c>
      <c r="E166" s="65">
        <v>50</v>
      </c>
      <c r="F166" s="100" t="str">
        <f>HYPERLINK("https://yt3.ggpht.com/ytc/AGIKgqP_bUwiMp9jHfs47fvPt8QAnKEKonMnpbShFEbvBw=s88-c-k-c0x00ffffff-no-rj")</f>
        <v>https://yt3.ggpht.com/ytc/AGIKgqP_bUwiMp9jHfs47fvPt8QAnKEKonMnpbShFEbvBw=s88-c-k-c0x00ffffff-no-rj</v>
      </c>
      <c r="G166" s="62"/>
      <c r="H166" s="66" t="s">
        <v>1212</v>
      </c>
      <c r="I166" s="67"/>
      <c r="J166" s="67" t="s">
        <v>159</v>
      </c>
      <c r="K166" s="66" t="s">
        <v>1212</v>
      </c>
      <c r="L166" s="70"/>
      <c r="M166" s="71">
        <v>3307.514892578125</v>
      </c>
      <c r="N166" s="71">
        <v>2305.94921875</v>
      </c>
      <c r="O166" s="72"/>
      <c r="P166" s="73"/>
      <c r="Q166" s="73"/>
      <c r="R166" s="94"/>
      <c r="S166" s="45">
        <v>0</v>
      </c>
      <c r="T166" s="45">
        <v>1</v>
      </c>
      <c r="U166" s="46">
        <v>0</v>
      </c>
      <c r="V166" s="46">
        <v>0.046698</v>
      </c>
      <c r="W166" s="46">
        <v>0</v>
      </c>
      <c r="X166" s="46">
        <v>0.002058</v>
      </c>
      <c r="Y166" s="46">
        <v>0</v>
      </c>
      <c r="Z166" s="46">
        <v>0</v>
      </c>
      <c r="AA166" s="68">
        <v>166</v>
      </c>
      <c r="AB166" s="68"/>
      <c r="AC166" s="69"/>
      <c r="AD166" s="83" t="s">
        <v>1212</v>
      </c>
      <c r="AE166" s="83"/>
      <c r="AF166" s="83"/>
      <c r="AG166" s="83"/>
      <c r="AH166" s="83"/>
      <c r="AI166" s="83" t="s">
        <v>2244</v>
      </c>
      <c r="AJ166" s="92">
        <v>40944.69226851852</v>
      </c>
      <c r="AK166" s="89" t="str">
        <f>HYPERLINK("https://yt3.ggpht.com/ytc/AGIKgqP_bUwiMp9jHfs47fvPt8QAnKEKonMnpbShFEbvBw=s88-c-k-c0x00ffffff-no-rj")</f>
        <v>https://yt3.ggpht.com/ytc/AGIKgqP_bUwiMp9jHfs47fvPt8QAnKEKonMnpbShFEbvBw=s88-c-k-c0x00ffffff-no-rj</v>
      </c>
      <c r="AL166" s="83">
        <v>2</v>
      </c>
      <c r="AM166" s="83">
        <v>0</v>
      </c>
      <c r="AN166" s="83">
        <v>0</v>
      </c>
      <c r="AO166" s="83" t="b">
        <v>0</v>
      </c>
      <c r="AP166" s="83">
        <v>2</v>
      </c>
      <c r="AQ166" s="83"/>
      <c r="AR166" s="83"/>
      <c r="AS166" s="83" t="s">
        <v>2744</v>
      </c>
      <c r="AT166" s="89" t="str">
        <f>HYPERLINK("https://www.youtube.com/channel/UCixLnYa4n6LmG8-vSAmAOog")</f>
        <v>https://www.youtube.com/channel/UCixLnYa4n6LmG8-vSAmAOog</v>
      </c>
      <c r="AU166" s="83" t="str">
        <f>REPLACE(INDEX(GroupVertices[Group],MATCH(Vertices[[#This Row],[Vertex]],GroupVertices[Vertex],0)),1,1,"")</f>
        <v>3</v>
      </c>
      <c r="AV166" s="45"/>
      <c r="AW166" s="46"/>
      <c r="AX166" s="45"/>
      <c r="AY166" s="46"/>
      <c r="AZ166" s="45"/>
      <c r="BA166" s="46"/>
      <c r="BB166" s="45"/>
      <c r="BC166" s="46"/>
      <c r="BD166" s="45"/>
      <c r="BE166" s="110" t="s">
        <v>1874</v>
      </c>
      <c r="BF166" s="110" t="s">
        <v>1874</v>
      </c>
      <c r="BG166" s="110" t="s">
        <v>1874</v>
      </c>
      <c r="BH166" s="110" t="s">
        <v>1874</v>
      </c>
      <c r="BI166" s="2"/>
    </row>
    <row r="167" spans="1:61" ht="15">
      <c r="A167" s="61" t="s">
        <v>375</v>
      </c>
      <c r="B167" s="62" t="s">
        <v>2893</v>
      </c>
      <c r="C167" s="62"/>
      <c r="D167" s="63">
        <v>100</v>
      </c>
      <c r="E167" s="65">
        <v>50</v>
      </c>
      <c r="F167" s="100" t="str">
        <f>HYPERLINK("https://yt3.ggpht.com/ytc/AGIKgqN36dh9Am9FxBYKpnQvzQJiqoaegkTrwrOYng=s88-c-k-c0x00ffffff-no-rj")</f>
        <v>https://yt3.ggpht.com/ytc/AGIKgqN36dh9Am9FxBYKpnQvzQJiqoaegkTrwrOYng=s88-c-k-c0x00ffffff-no-rj</v>
      </c>
      <c r="G167" s="62"/>
      <c r="H167" s="66" t="s">
        <v>1213</v>
      </c>
      <c r="I167" s="67"/>
      <c r="J167" s="67" t="s">
        <v>159</v>
      </c>
      <c r="K167" s="66" t="s">
        <v>1213</v>
      </c>
      <c r="L167" s="70"/>
      <c r="M167" s="71">
        <v>2968.453125</v>
      </c>
      <c r="N167" s="71">
        <v>2305.94921875</v>
      </c>
      <c r="O167" s="72"/>
      <c r="P167" s="73"/>
      <c r="Q167" s="73"/>
      <c r="R167" s="94"/>
      <c r="S167" s="45">
        <v>0</v>
      </c>
      <c r="T167" s="45">
        <v>1</v>
      </c>
      <c r="U167" s="46">
        <v>0</v>
      </c>
      <c r="V167" s="46">
        <v>0.046698</v>
      </c>
      <c r="W167" s="46">
        <v>0</v>
      </c>
      <c r="X167" s="46">
        <v>0.002058</v>
      </c>
      <c r="Y167" s="46">
        <v>0</v>
      </c>
      <c r="Z167" s="46">
        <v>0</v>
      </c>
      <c r="AA167" s="68">
        <v>167</v>
      </c>
      <c r="AB167" s="68"/>
      <c r="AC167" s="69"/>
      <c r="AD167" s="83" t="s">
        <v>1213</v>
      </c>
      <c r="AE167" s="83"/>
      <c r="AF167" s="83"/>
      <c r="AG167" s="83"/>
      <c r="AH167" s="83"/>
      <c r="AI167" s="83" t="s">
        <v>2245</v>
      </c>
      <c r="AJ167" s="83" t="s">
        <v>2598</v>
      </c>
      <c r="AK167" s="89" t="str">
        <f>HYPERLINK("https://yt3.ggpht.com/ytc/AGIKgqN36dh9Am9FxBYKpnQvzQJiqoaegkTrwrOYng=s88-c-k-c0x00ffffff-no-rj")</f>
        <v>https://yt3.ggpht.com/ytc/AGIKgqN36dh9Am9FxBYKpnQvzQJiqoaegkTrwrOYng=s88-c-k-c0x00ffffff-no-rj</v>
      </c>
      <c r="AL167" s="83">
        <v>35854</v>
      </c>
      <c r="AM167" s="83">
        <v>0</v>
      </c>
      <c r="AN167" s="83">
        <v>17</v>
      </c>
      <c r="AO167" s="83" t="b">
        <v>0</v>
      </c>
      <c r="AP167" s="83">
        <v>8</v>
      </c>
      <c r="AQ167" s="83"/>
      <c r="AR167" s="83"/>
      <c r="AS167" s="83" t="s">
        <v>2744</v>
      </c>
      <c r="AT167" s="89" t="str">
        <f>HYPERLINK("https://www.youtube.com/channel/UCEufnY_SkNkztDUVI27j9CQ")</f>
        <v>https://www.youtube.com/channel/UCEufnY_SkNkztDUVI27j9CQ</v>
      </c>
      <c r="AU167" s="83" t="str">
        <f>REPLACE(INDEX(GroupVertices[Group],MATCH(Vertices[[#This Row],[Vertex]],GroupVertices[Vertex],0)),1,1,"")</f>
        <v>3</v>
      </c>
      <c r="AV167" s="45"/>
      <c r="AW167" s="46"/>
      <c r="AX167" s="45"/>
      <c r="AY167" s="46"/>
      <c r="AZ167" s="45"/>
      <c r="BA167" s="46"/>
      <c r="BB167" s="45"/>
      <c r="BC167" s="46"/>
      <c r="BD167" s="45"/>
      <c r="BE167" s="110" t="s">
        <v>1874</v>
      </c>
      <c r="BF167" s="110" t="s">
        <v>1874</v>
      </c>
      <c r="BG167" s="110" t="s">
        <v>1874</v>
      </c>
      <c r="BH167" s="110" t="s">
        <v>1874</v>
      </c>
      <c r="BI167" s="2"/>
    </row>
    <row r="168" spans="1:61" ht="15">
      <c r="A168" s="61" t="s">
        <v>376</v>
      </c>
      <c r="B168" s="62" t="s">
        <v>2893</v>
      </c>
      <c r="C168" s="62"/>
      <c r="D168" s="63">
        <v>100</v>
      </c>
      <c r="E168" s="65">
        <v>50</v>
      </c>
      <c r="F168" s="100" t="str">
        <f>HYPERLINK("https://yt3.ggpht.com/ytc/AGIKgqMbxRVG115FUy3B_8tIH8sJOfwCSSx2YwrcUg=s88-c-k-c0x00ffffff-no-rj")</f>
        <v>https://yt3.ggpht.com/ytc/AGIKgqMbxRVG115FUy3B_8tIH8sJOfwCSSx2YwrcUg=s88-c-k-c0x00ffffff-no-rj</v>
      </c>
      <c r="G168" s="62"/>
      <c r="H168" s="66" t="s">
        <v>1214</v>
      </c>
      <c r="I168" s="67"/>
      <c r="J168" s="67" t="s">
        <v>159</v>
      </c>
      <c r="K168" s="66" t="s">
        <v>1214</v>
      </c>
      <c r="L168" s="70"/>
      <c r="M168" s="71">
        <v>2629.391357421875</v>
      </c>
      <c r="N168" s="71">
        <v>2305.94921875</v>
      </c>
      <c r="O168" s="72"/>
      <c r="P168" s="73"/>
      <c r="Q168" s="73"/>
      <c r="R168" s="94"/>
      <c r="S168" s="45">
        <v>0</v>
      </c>
      <c r="T168" s="45">
        <v>1</v>
      </c>
      <c r="U168" s="46">
        <v>0</v>
      </c>
      <c r="V168" s="46">
        <v>0.046698</v>
      </c>
      <c r="W168" s="46">
        <v>0</v>
      </c>
      <c r="X168" s="46">
        <v>0.002058</v>
      </c>
      <c r="Y168" s="46">
        <v>0</v>
      </c>
      <c r="Z168" s="46">
        <v>0</v>
      </c>
      <c r="AA168" s="68">
        <v>168</v>
      </c>
      <c r="AB168" s="68"/>
      <c r="AC168" s="69"/>
      <c r="AD168" s="83" t="s">
        <v>1214</v>
      </c>
      <c r="AE168" s="83"/>
      <c r="AF168" s="83"/>
      <c r="AG168" s="83"/>
      <c r="AH168" s="83"/>
      <c r="AI168" s="83" t="s">
        <v>2246</v>
      </c>
      <c r="AJ168" s="83" t="s">
        <v>2599</v>
      </c>
      <c r="AK168" s="89" t="str">
        <f>HYPERLINK("https://yt3.ggpht.com/ytc/AGIKgqMbxRVG115FUy3B_8tIH8sJOfwCSSx2YwrcUg=s88-c-k-c0x00ffffff-no-rj")</f>
        <v>https://yt3.ggpht.com/ytc/AGIKgqMbxRVG115FUy3B_8tIH8sJOfwCSSx2YwrcUg=s88-c-k-c0x00ffffff-no-rj</v>
      </c>
      <c r="AL168" s="83">
        <v>0</v>
      </c>
      <c r="AM168" s="83">
        <v>0</v>
      </c>
      <c r="AN168" s="83">
        <v>13</v>
      </c>
      <c r="AO168" s="83" t="b">
        <v>0</v>
      </c>
      <c r="AP168" s="83">
        <v>0</v>
      </c>
      <c r="AQ168" s="83"/>
      <c r="AR168" s="83"/>
      <c r="AS168" s="83" t="s">
        <v>2744</v>
      </c>
      <c r="AT168" s="89" t="str">
        <f>HYPERLINK("https://www.youtube.com/channel/UCwGT79milQt4vkImMJjKaKg")</f>
        <v>https://www.youtube.com/channel/UCwGT79milQt4vkImMJjKaKg</v>
      </c>
      <c r="AU168" s="83" t="str">
        <f>REPLACE(INDEX(GroupVertices[Group],MATCH(Vertices[[#This Row],[Vertex]],GroupVertices[Vertex],0)),1,1,"")</f>
        <v>3</v>
      </c>
      <c r="AV168" s="45"/>
      <c r="AW168" s="46"/>
      <c r="AX168" s="45"/>
      <c r="AY168" s="46"/>
      <c r="AZ168" s="45"/>
      <c r="BA168" s="46"/>
      <c r="BB168" s="45"/>
      <c r="BC168" s="46"/>
      <c r="BD168" s="45"/>
      <c r="BE168" s="110" t="s">
        <v>1874</v>
      </c>
      <c r="BF168" s="110" t="s">
        <v>1874</v>
      </c>
      <c r="BG168" s="110" t="s">
        <v>1874</v>
      </c>
      <c r="BH168" s="110" t="s">
        <v>1874</v>
      </c>
      <c r="BI168" s="2"/>
    </row>
    <row r="169" spans="1:61" ht="15">
      <c r="A169" s="61" t="s">
        <v>377</v>
      </c>
      <c r="B169" s="62" t="s">
        <v>2893</v>
      </c>
      <c r="C169" s="62"/>
      <c r="D169" s="63">
        <v>100</v>
      </c>
      <c r="E169" s="65">
        <v>50</v>
      </c>
      <c r="F169" s="100" t="str">
        <f>HYPERLINK("https://yt3.ggpht.com/ytc/AGIKgqP2pDd2SEzc3o9KqyzNUxPRx3Qa4Ufd-MFLGwMt=s88-c-k-c0x00ffffff-no-rj")</f>
        <v>https://yt3.ggpht.com/ytc/AGIKgqP2pDd2SEzc3o9KqyzNUxPRx3Qa4Ufd-MFLGwMt=s88-c-k-c0x00ffffff-no-rj</v>
      </c>
      <c r="G169" s="62"/>
      <c r="H169" s="66" t="s">
        <v>1215</v>
      </c>
      <c r="I169" s="67"/>
      <c r="J169" s="67" t="s">
        <v>159</v>
      </c>
      <c r="K169" s="66" t="s">
        <v>1215</v>
      </c>
      <c r="L169" s="70"/>
      <c r="M169" s="71">
        <v>5002.82421875</v>
      </c>
      <c r="N169" s="71">
        <v>2884.542724609375</v>
      </c>
      <c r="O169" s="72"/>
      <c r="P169" s="73"/>
      <c r="Q169" s="73"/>
      <c r="R169" s="94"/>
      <c r="S169" s="45">
        <v>0</v>
      </c>
      <c r="T169" s="45">
        <v>1</v>
      </c>
      <c r="U169" s="46">
        <v>0</v>
      </c>
      <c r="V169" s="46">
        <v>0.046698</v>
      </c>
      <c r="W169" s="46">
        <v>0</v>
      </c>
      <c r="X169" s="46">
        <v>0.002058</v>
      </c>
      <c r="Y169" s="46">
        <v>0</v>
      </c>
      <c r="Z169" s="46">
        <v>0</v>
      </c>
      <c r="AA169" s="68">
        <v>169</v>
      </c>
      <c r="AB169" s="68"/>
      <c r="AC169" s="69"/>
      <c r="AD169" s="83" t="s">
        <v>1215</v>
      </c>
      <c r="AE169" s="83"/>
      <c r="AF169" s="83"/>
      <c r="AG169" s="83"/>
      <c r="AH169" s="83"/>
      <c r="AI169" s="83" t="s">
        <v>2247</v>
      </c>
      <c r="AJ169" s="83" t="s">
        <v>2600</v>
      </c>
      <c r="AK169" s="89" t="str">
        <f>HYPERLINK("https://yt3.ggpht.com/ytc/AGIKgqP2pDd2SEzc3o9KqyzNUxPRx3Qa4Ufd-MFLGwMt=s88-c-k-c0x00ffffff-no-rj")</f>
        <v>https://yt3.ggpht.com/ytc/AGIKgqP2pDd2SEzc3o9KqyzNUxPRx3Qa4Ufd-MFLGwMt=s88-c-k-c0x00ffffff-no-rj</v>
      </c>
      <c r="AL169" s="83">
        <v>0</v>
      </c>
      <c r="AM169" s="83">
        <v>0</v>
      </c>
      <c r="AN169" s="83">
        <v>3</v>
      </c>
      <c r="AO169" s="83" t="b">
        <v>0</v>
      </c>
      <c r="AP169" s="83">
        <v>0</v>
      </c>
      <c r="AQ169" s="83"/>
      <c r="AR169" s="83"/>
      <c r="AS169" s="83" t="s">
        <v>2744</v>
      </c>
      <c r="AT169" s="89" t="str">
        <f>HYPERLINK("https://www.youtube.com/channel/UCBZ-5muILT0Ok8LL8PDb0jQ")</f>
        <v>https://www.youtube.com/channel/UCBZ-5muILT0Ok8LL8PDb0jQ</v>
      </c>
      <c r="AU169" s="83" t="str">
        <f>REPLACE(INDEX(GroupVertices[Group],MATCH(Vertices[[#This Row],[Vertex]],GroupVertices[Vertex],0)),1,1,"")</f>
        <v>3</v>
      </c>
      <c r="AV169" s="45"/>
      <c r="AW169" s="46"/>
      <c r="AX169" s="45"/>
      <c r="AY169" s="46"/>
      <c r="AZ169" s="45"/>
      <c r="BA169" s="46"/>
      <c r="BB169" s="45"/>
      <c r="BC169" s="46"/>
      <c r="BD169" s="45"/>
      <c r="BE169" s="110" t="s">
        <v>1874</v>
      </c>
      <c r="BF169" s="110" t="s">
        <v>1874</v>
      </c>
      <c r="BG169" s="110" t="s">
        <v>1874</v>
      </c>
      <c r="BH169" s="110" t="s">
        <v>1874</v>
      </c>
      <c r="BI169" s="2"/>
    </row>
    <row r="170" spans="1:61" ht="15">
      <c r="A170" s="61" t="s">
        <v>378</v>
      </c>
      <c r="B170" s="62" t="s">
        <v>2893</v>
      </c>
      <c r="C170" s="62"/>
      <c r="D170" s="63">
        <v>100</v>
      </c>
      <c r="E170" s="65">
        <v>50</v>
      </c>
      <c r="F170" s="100" t="str">
        <f>HYPERLINK("https://yt3.ggpht.com/O_djQejiOxfODLR2KQwPo4ZFZuxjwko-84WRbhq7vv5UBCghIOQgxr46X4oD_YCDnqUkumr1sqk=s88-c-k-c0x00ffffff-no-rj")</f>
        <v>https://yt3.ggpht.com/O_djQejiOxfODLR2KQwPo4ZFZuxjwko-84WRbhq7vv5UBCghIOQgxr46X4oD_YCDnqUkumr1sqk=s88-c-k-c0x00ffffff-no-rj</v>
      </c>
      <c r="G170" s="62"/>
      <c r="H170" s="66" t="s">
        <v>1216</v>
      </c>
      <c r="I170" s="67"/>
      <c r="J170" s="67" t="s">
        <v>159</v>
      </c>
      <c r="K170" s="66" t="s">
        <v>1216</v>
      </c>
      <c r="L170" s="70"/>
      <c r="M170" s="71">
        <v>4663.76220703125</v>
      </c>
      <c r="N170" s="71">
        <v>2884.542724609375</v>
      </c>
      <c r="O170" s="72"/>
      <c r="P170" s="73"/>
      <c r="Q170" s="73"/>
      <c r="R170" s="94"/>
      <c r="S170" s="45">
        <v>0</v>
      </c>
      <c r="T170" s="45">
        <v>1</v>
      </c>
      <c r="U170" s="46">
        <v>0</v>
      </c>
      <c r="V170" s="46">
        <v>0.046698</v>
      </c>
      <c r="W170" s="46">
        <v>0</v>
      </c>
      <c r="X170" s="46">
        <v>0.002058</v>
      </c>
      <c r="Y170" s="46">
        <v>0</v>
      </c>
      <c r="Z170" s="46">
        <v>0</v>
      </c>
      <c r="AA170" s="68">
        <v>170</v>
      </c>
      <c r="AB170" s="68"/>
      <c r="AC170" s="69"/>
      <c r="AD170" s="83" t="s">
        <v>1216</v>
      </c>
      <c r="AE170" s="83"/>
      <c r="AF170" s="83"/>
      <c r="AG170" s="83"/>
      <c r="AH170" s="83"/>
      <c r="AI170" s="83" t="s">
        <v>2248</v>
      </c>
      <c r="AJ170" s="83" t="s">
        <v>2601</v>
      </c>
      <c r="AK170" s="89" t="str">
        <f>HYPERLINK("https://yt3.ggpht.com/O_djQejiOxfODLR2KQwPo4ZFZuxjwko-84WRbhq7vv5UBCghIOQgxr46X4oD_YCDnqUkumr1sqk=s88-c-k-c0x00ffffff-no-rj")</f>
        <v>https://yt3.ggpht.com/O_djQejiOxfODLR2KQwPo4ZFZuxjwko-84WRbhq7vv5UBCghIOQgxr46X4oD_YCDnqUkumr1sqk=s88-c-k-c0x00ffffff-no-rj</v>
      </c>
      <c r="AL170" s="83">
        <v>0</v>
      </c>
      <c r="AM170" s="83">
        <v>0</v>
      </c>
      <c r="AN170" s="83">
        <v>4</v>
      </c>
      <c r="AO170" s="83" t="b">
        <v>0</v>
      </c>
      <c r="AP170" s="83">
        <v>0</v>
      </c>
      <c r="AQ170" s="83"/>
      <c r="AR170" s="83"/>
      <c r="AS170" s="83" t="s">
        <v>2744</v>
      </c>
      <c r="AT170" s="89" t="str">
        <f>HYPERLINK("https://www.youtube.com/channel/UCN7FBhlVPEavc63LoZS75_g")</f>
        <v>https://www.youtube.com/channel/UCN7FBhlVPEavc63LoZS75_g</v>
      </c>
      <c r="AU170" s="83" t="str">
        <f>REPLACE(INDEX(GroupVertices[Group],MATCH(Vertices[[#This Row],[Vertex]],GroupVertices[Vertex],0)),1,1,"")</f>
        <v>3</v>
      </c>
      <c r="AV170" s="45"/>
      <c r="AW170" s="46"/>
      <c r="AX170" s="45"/>
      <c r="AY170" s="46"/>
      <c r="AZ170" s="45"/>
      <c r="BA170" s="46"/>
      <c r="BB170" s="45"/>
      <c r="BC170" s="46"/>
      <c r="BD170" s="45"/>
      <c r="BE170" s="110" t="s">
        <v>1874</v>
      </c>
      <c r="BF170" s="110" t="s">
        <v>1874</v>
      </c>
      <c r="BG170" s="110" t="s">
        <v>1874</v>
      </c>
      <c r="BH170" s="110" t="s">
        <v>1874</v>
      </c>
      <c r="BI170" s="2"/>
    </row>
    <row r="171" spans="1:61" ht="15">
      <c r="A171" s="61" t="s">
        <v>379</v>
      </c>
      <c r="B171" s="62" t="s">
        <v>2893</v>
      </c>
      <c r="C171" s="62"/>
      <c r="D171" s="63">
        <v>100</v>
      </c>
      <c r="E171" s="65">
        <v>50</v>
      </c>
      <c r="F171" s="100" t="str">
        <f>HYPERLINK("https://yt3.ggpht.com/iHPl8H-bccVnnxXHbec0ZWLJA5XQVUK087Hwq33yaI6zXTpa_Ab_4EC90cwBeM6MWfEsUz2YzMQ=s88-c-k-c0x00ffffff-no-rj")</f>
        <v>https://yt3.ggpht.com/iHPl8H-bccVnnxXHbec0ZWLJA5XQVUK087Hwq33yaI6zXTpa_Ab_4EC90cwBeM6MWfEsUz2YzMQ=s88-c-k-c0x00ffffff-no-rj</v>
      </c>
      <c r="G171" s="62"/>
      <c r="H171" s="66" t="s">
        <v>1217</v>
      </c>
      <c r="I171" s="67"/>
      <c r="J171" s="67" t="s">
        <v>159</v>
      </c>
      <c r="K171" s="66" t="s">
        <v>1217</v>
      </c>
      <c r="L171" s="70"/>
      <c r="M171" s="71">
        <v>4324.70068359375</v>
      </c>
      <c r="N171" s="71">
        <v>2884.542724609375</v>
      </c>
      <c r="O171" s="72"/>
      <c r="P171" s="73"/>
      <c r="Q171" s="73"/>
      <c r="R171" s="94"/>
      <c r="S171" s="45">
        <v>0</v>
      </c>
      <c r="T171" s="45">
        <v>1</v>
      </c>
      <c r="U171" s="46">
        <v>0</v>
      </c>
      <c r="V171" s="46">
        <v>0.046698</v>
      </c>
      <c r="W171" s="46">
        <v>0</v>
      </c>
      <c r="X171" s="46">
        <v>0.002058</v>
      </c>
      <c r="Y171" s="46">
        <v>0</v>
      </c>
      <c r="Z171" s="46">
        <v>0</v>
      </c>
      <c r="AA171" s="68">
        <v>171</v>
      </c>
      <c r="AB171" s="68"/>
      <c r="AC171" s="69"/>
      <c r="AD171" s="83" t="s">
        <v>1217</v>
      </c>
      <c r="AE171" s="83"/>
      <c r="AF171" s="83"/>
      <c r="AG171" s="83"/>
      <c r="AH171" s="83"/>
      <c r="AI171" s="83" t="s">
        <v>2249</v>
      </c>
      <c r="AJ171" s="83" t="s">
        <v>2602</v>
      </c>
      <c r="AK171" s="89" t="str">
        <f>HYPERLINK("https://yt3.ggpht.com/iHPl8H-bccVnnxXHbec0ZWLJA5XQVUK087Hwq33yaI6zXTpa_Ab_4EC90cwBeM6MWfEsUz2YzMQ=s88-c-k-c0x00ffffff-no-rj")</f>
        <v>https://yt3.ggpht.com/iHPl8H-bccVnnxXHbec0ZWLJA5XQVUK087Hwq33yaI6zXTpa_Ab_4EC90cwBeM6MWfEsUz2YzMQ=s88-c-k-c0x00ffffff-no-rj</v>
      </c>
      <c r="AL171" s="83">
        <v>686991</v>
      </c>
      <c r="AM171" s="83">
        <v>0</v>
      </c>
      <c r="AN171" s="83">
        <v>519</v>
      </c>
      <c r="AO171" s="83" t="b">
        <v>0</v>
      </c>
      <c r="AP171" s="83">
        <v>15</v>
      </c>
      <c r="AQ171" s="83"/>
      <c r="AR171" s="83"/>
      <c r="AS171" s="83" t="s">
        <v>2744</v>
      </c>
      <c r="AT171" s="89" t="str">
        <f>HYPERLINK("https://www.youtube.com/channel/UCQ9n58IF50mO518MQunnXtQ")</f>
        <v>https://www.youtube.com/channel/UCQ9n58IF50mO518MQunnXtQ</v>
      </c>
      <c r="AU171" s="83" t="str">
        <f>REPLACE(INDEX(GroupVertices[Group],MATCH(Vertices[[#This Row],[Vertex]],GroupVertices[Vertex],0)),1,1,"")</f>
        <v>3</v>
      </c>
      <c r="AV171" s="45"/>
      <c r="AW171" s="46"/>
      <c r="AX171" s="45"/>
      <c r="AY171" s="46"/>
      <c r="AZ171" s="45"/>
      <c r="BA171" s="46"/>
      <c r="BB171" s="45"/>
      <c r="BC171" s="46"/>
      <c r="BD171" s="45"/>
      <c r="BE171" s="110" t="s">
        <v>1874</v>
      </c>
      <c r="BF171" s="110" t="s">
        <v>1874</v>
      </c>
      <c r="BG171" s="110" t="s">
        <v>1874</v>
      </c>
      <c r="BH171" s="110" t="s">
        <v>1874</v>
      </c>
      <c r="BI171" s="2"/>
    </row>
    <row r="172" spans="1:61" ht="15">
      <c r="A172" s="61" t="s">
        <v>380</v>
      </c>
      <c r="B172" s="62" t="s">
        <v>2893</v>
      </c>
      <c r="C172" s="62"/>
      <c r="D172" s="63">
        <v>100</v>
      </c>
      <c r="E172" s="65">
        <v>50</v>
      </c>
      <c r="F172" s="100" t="str">
        <f>HYPERLINK("https://yt3.ggpht.com/2_Nd3sgXh-Uxzr8bXa1zaRDIrKscmBn34A6ENdiFuKx-1LHVRhaczCPdInnKJ9AQ0ZvKEb5K_w=s88-c-k-c0x00ffffff-no-rj")</f>
        <v>https://yt3.ggpht.com/2_Nd3sgXh-Uxzr8bXa1zaRDIrKscmBn34A6ENdiFuKx-1LHVRhaczCPdInnKJ9AQ0ZvKEb5K_w=s88-c-k-c0x00ffffff-no-rj</v>
      </c>
      <c r="G172" s="62"/>
      <c r="H172" s="66" t="s">
        <v>1218</v>
      </c>
      <c r="I172" s="67"/>
      <c r="J172" s="67" t="s">
        <v>159</v>
      </c>
      <c r="K172" s="66" t="s">
        <v>1218</v>
      </c>
      <c r="L172" s="70"/>
      <c r="M172" s="71">
        <v>3985.638671875</v>
      </c>
      <c r="N172" s="71">
        <v>2884.542724609375</v>
      </c>
      <c r="O172" s="72"/>
      <c r="P172" s="73"/>
      <c r="Q172" s="73"/>
      <c r="R172" s="94"/>
      <c r="S172" s="45">
        <v>0</v>
      </c>
      <c r="T172" s="45">
        <v>1</v>
      </c>
      <c r="U172" s="46">
        <v>0</v>
      </c>
      <c r="V172" s="46">
        <v>0.046698</v>
      </c>
      <c r="W172" s="46">
        <v>0</v>
      </c>
      <c r="X172" s="46">
        <v>0.002058</v>
      </c>
      <c r="Y172" s="46">
        <v>0</v>
      </c>
      <c r="Z172" s="46">
        <v>0</v>
      </c>
      <c r="AA172" s="68">
        <v>172</v>
      </c>
      <c r="AB172" s="68"/>
      <c r="AC172" s="69"/>
      <c r="AD172" s="83" t="s">
        <v>1218</v>
      </c>
      <c r="AE172" s="83" t="s">
        <v>1986</v>
      </c>
      <c r="AF172" s="83"/>
      <c r="AG172" s="83"/>
      <c r="AH172" s="83"/>
      <c r="AI172" s="83" t="s">
        <v>2250</v>
      </c>
      <c r="AJ172" s="83" t="s">
        <v>2603</v>
      </c>
      <c r="AK172" s="89" t="str">
        <f>HYPERLINK("https://yt3.ggpht.com/2_Nd3sgXh-Uxzr8bXa1zaRDIrKscmBn34A6ENdiFuKx-1LHVRhaczCPdInnKJ9AQ0ZvKEb5K_w=s88-c-k-c0x00ffffff-no-rj")</f>
        <v>https://yt3.ggpht.com/2_Nd3sgXh-Uxzr8bXa1zaRDIrKscmBn34A6ENdiFuKx-1LHVRhaczCPdInnKJ9AQ0ZvKEb5K_w=s88-c-k-c0x00ffffff-no-rj</v>
      </c>
      <c r="AL172" s="83">
        <v>2117</v>
      </c>
      <c r="AM172" s="83">
        <v>0</v>
      </c>
      <c r="AN172" s="83">
        <v>33</v>
      </c>
      <c r="AO172" s="83" t="b">
        <v>0</v>
      </c>
      <c r="AP172" s="83">
        <v>11</v>
      </c>
      <c r="AQ172" s="83"/>
      <c r="AR172" s="83"/>
      <c r="AS172" s="83" t="s">
        <v>2744</v>
      </c>
      <c r="AT172" s="89" t="str">
        <f>HYPERLINK("https://www.youtube.com/channel/UCvTmukWsgcWGZt5iy-eicHQ")</f>
        <v>https://www.youtube.com/channel/UCvTmukWsgcWGZt5iy-eicHQ</v>
      </c>
      <c r="AU172" s="83" t="str">
        <f>REPLACE(INDEX(GroupVertices[Group],MATCH(Vertices[[#This Row],[Vertex]],GroupVertices[Vertex],0)),1,1,"")</f>
        <v>3</v>
      </c>
      <c r="AV172" s="45"/>
      <c r="AW172" s="46"/>
      <c r="AX172" s="45"/>
      <c r="AY172" s="46"/>
      <c r="AZ172" s="45"/>
      <c r="BA172" s="46"/>
      <c r="BB172" s="45"/>
      <c r="BC172" s="46"/>
      <c r="BD172" s="45"/>
      <c r="BE172" s="110" t="s">
        <v>1874</v>
      </c>
      <c r="BF172" s="110" t="s">
        <v>1874</v>
      </c>
      <c r="BG172" s="110" t="s">
        <v>1874</v>
      </c>
      <c r="BH172" s="110" t="s">
        <v>1874</v>
      </c>
      <c r="BI172" s="2"/>
    </row>
    <row r="173" spans="1:61" ht="15">
      <c r="A173" s="61" t="s">
        <v>381</v>
      </c>
      <c r="B173" s="62" t="s">
        <v>2893</v>
      </c>
      <c r="C173" s="62"/>
      <c r="D173" s="63">
        <v>100</v>
      </c>
      <c r="E173" s="65">
        <v>50</v>
      </c>
      <c r="F173" s="100" t="str">
        <f>HYPERLINK("https://yt3.ggpht.com/ytc/AGIKgqOXdmmPtuYxKc8PXcuKvP9w-HETv8Qgl6bXAU9_8A=s88-c-k-c0x00ffffff-no-rj")</f>
        <v>https://yt3.ggpht.com/ytc/AGIKgqOXdmmPtuYxKc8PXcuKvP9w-HETv8Qgl6bXAU9_8A=s88-c-k-c0x00ffffff-no-rj</v>
      </c>
      <c r="G173" s="62"/>
      <c r="H173" s="66" t="s">
        <v>1219</v>
      </c>
      <c r="I173" s="67"/>
      <c r="J173" s="67" t="s">
        <v>159</v>
      </c>
      <c r="K173" s="66" t="s">
        <v>1219</v>
      </c>
      <c r="L173" s="70"/>
      <c r="M173" s="71">
        <v>3646.576904296875</v>
      </c>
      <c r="N173" s="71">
        <v>2884.542724609375</v>
      </c>
      <c r="O173" s="72"/>
      <c r="P173" s="73"/>
      <c r="Q173" s="73"/>
      <c r="R173" s="94"/>
      <c r="S173" s="45">
        <v>0</v>
      </c>
      <c r="T173" s="45">
        <v>1</v>
      </c>
      <c r="U173" s="46">
        <v>0</v>
      </c>
      <c r="V173" s="46">
        <v>0.046698</v>
      </c>
      <c r="W173" s="46">
        <v>0</v>
      </c>
      <c r="X173" s="46">
        <v>0.002058</v>
      </c>
      <c r="Y173" s="46">
        <v>0</v>
      </c>
      <c r="Z173" s="46">
        <v>0</v>
      </c>
      <c r="AA173" s="68">
        <v>173</v>
      </c>
      <c r="AB173" s="68"/>
      <c r="AC173" s="69"/>
      <c r="AD173" s="83" t="s">
        <v>1219</v>
      </c>
      <c r="AE173" s="83" t="s">
        <v>1987</v>
      </c>
      <c r="AF173" s="83"/>
      <c r="AG173" s="83"/>
      <c r="AH173" s="83"/>
      <c r="AI173" s="83" t="s">
        <v>2251</v>
      </c>
      <c r="AJ173" s="83" t="s">
        <v>2604</v>
      </c>
      <c r="AK173" s="89" t="str">
        <f>HYPERLINK("https://yt3.ggpht.com/ytc/AGIKgqOXdmmPtuYxKc8PXcuKvP9w-HETv8Qgl6bXAU9_8A=s88-c-k-c0x00ffffff-no-rj")</f>
        <v>https://yt3.ggpht.com/ytc/AGIKgqOXdmmPtuYxKc8PXcuKvP9w-HETv8Qgl6bXAU9_8A=s88-c-k-c0x00ffffff-no-rj</v>
      </c>
      <c r="AL173" s="83">
        <v>37</v>
      </c>
      <c r="AM173" s="83">
        <v>0</v>
      </c>
      <c r="AN173" s="83">
        <v>8</v>
      </c>
      <c r="AO173" s="83" t="b">
        <v>0</v>
      </c>
      <c r="AP173" s="83">
        <v>2</v>
      </c>
      <c r="AQ173" s="83"/>
      <c r="AR173" s="83"/>
      <c r="AS173" s="83" t="s">
        <v>2744</v>
      </c>
      <c r="AT173" s="89" t="str">
        <f>HYPERLINK("https://www.youtube.com/channel/UCeoYlyodM1H74T0kBzl6oXw")</f>
        <v>https://www.youtube.com/channel/UCeoYlyodM1H74T0kBzl6oXw</v>
      </c>
      <c r="AU173" s="83" t="str">
        <f>REPLACE(INDEX(GroupVertices[Group],MATCH(Vertices[[#This Row],[Vertex]],GroupVertices[Vertex],0)),1,1,"")</f>
        <v>3</v>
      </c>
      <c r="AV173" s="45"/>
      <c r="AW173" s="46"/>
      <c r="AX173" s="45"/>
      <c r="AY173" s="46"/>
      <c r="AZ173" s="45"/>
      <c r="BA173" s="46"/>
      <c r="BB173" s="45"/>
      <c r="BC173" s="46"/>
      <c r="BD173" s="45"/>
      <c r="BE173" s="110" t="s">
        <v>1874</v>
      </c>
      <c r="BF173" s="110" t="s">
        <v>1874</v>
      </c>
      <c r="BG173" s="110" t="s">
        <v>1874</v>
      </c>
      <c r="BH173" s="110" t="s">
        <v>1874</v>
      </c>
      <c r="BI173" s="2"/>
    </row>
    <row r="174" spans="1:61" ht="15">
      <c r="A174" s="61" t="s">
        <v>382</v>
      </c>
      <c r="B174" s="62" t="s">
        <v>2893</v>
      </c>
      <c r="C174" s="62"/>
      <c r="D174" s="63">
        <v>100</v>
      </c>
      <c r="E174" s="65">
        <v>50</v>
      </c>
      <c r="F174" s="100" t="str">
        <f>HYPERLINK("https://yt3.ggpht.com/ytc/AGIKgqM-60916RFiGsnL-MuPAxLzmcd8RYmCzGbqRcHlNpoyIHOdIZotl6MGb7KAYPhJ=s88-c-k-c0x00ffffff-no-rj")</f>
        <v>https://yt3.ggpht.com/ytc/AGIKgqM-60916RFiGsnL-MuPAxLzmcd8RYmCzGbqRcHlNpoyIHOdIZotl6MGb7KAYPhJ=s88-c-k-c0x00ffffff-no-rj</v>
      </c>
      <c r="G174" s="62"/>
      <c r="H174" s="66" t="s">
        <v>1220</v>
      </c>
      <c r="I174" s="67"/>
      <c r="J174" s="67" t="s">
        <v>159</v>
      </c>
      <c r="K174" s="66" t="s">
        <v>1220</v>
      </c>
      <c r="L174" s="70"/>
      <c r="M174" s="71">
        <v>3307.514892578125</v>
      </c>
      <c r="N174" s="71">
        <v>2884.542724609375</v>
      </c>
      <c r="O174" s="72"/>
      <c r="P174" s="73"/>
      <c r="Q174" s="73"/>
      <c r="R174" s="94"/>
      <c r="S174" s="45">
        <v>0</v>
      </c>
      <c r="T174" s="45">
        <v>1</v>
      </c>
      <c r="U174" s="46">
        <v>0</v>
      </c>
      <c r="V174" s="46">
        <v>0.046698</v>
      </c>
      <c r="W174" s="46">
        <v>0</v>
      </c>
      <c r="X174" s="46">
        <v>0.002058</v>
      </c>
      <c r="Y174" s="46">
        <v>0</v>
      </c>
      <c r="Z174" s="46">
        <v>0</v>
      </c>
      <c r="AA174" s="68">
        <v>174</v>
      </c>
      <c r="AB174" s="68"/>
      <c r="AC174" s="69"/>
      <c r="AD174" s="83" t="s">
        <v>1220</v>
      </c>
      <c r="AE174" s="83" t="s">
        <v>1988</v>
      </c>
      <c r="AF174" s="83"/>
      <c r="AG174" s="83"/>
      <c r="AH174" s="83"/>
      <c r="AI174" s="83" t="s">
        <v>2252</v>
      </c>
      <c r="AJ174" s="83" t="s">
        <v>2605</v>
      </c>
      <c r="AK174" s="89" t="str">
        <f>HYPERLINK("https://yt3.ggpht.com/ytc/AGIKgqM-60916RFiGsnL-MuPAxLzmcd8RYmCzGbqRcHlNpoyIHOdIZotl6MGb7KAYPhJ=s88-c-k-c0x00ffffff-no-rj")</f>
        <v>https://yt3.ggpht.com/ytc/AGIKgqM-60916RFiGsnL-MuPAxLzmcd8RYmCzGbqRcHlNpoyIHOdIZotl6MGb7KAYPhJ=s88-c-k-c0x00ffffff-no-rj</v>
      </c>
      <c r="AL174" s="83">
        <v>0</v>
      </c>
      <c r="AM174" s="83">
        <v>0</v>
      </c>
      <c r="AN174" s="83">
        <v>0</v>
      </c>
      <c r="AO174" s="83" t="b">
        <v>0</v>
      </c>
      <c r="AP174" s="83">
        <v>0</v>
      </c>
      <c r="AQ174" s="83"/>
      <c r="AR174" s="83"/>
      <c r="AS174" s="83" t="s">
        <v>2744</v>
      </c>
      <c r="AT174" s="89" t="str">
        <f>HYPERLINK("https://www.youtube.com/channel/UCdP37gap51bObyiHECeen1Q")</f>
        <v>https://www.youtube.com/channel/UCdP37gap51bObyiHECeen1Q</v>
      </c>
      <c r="AU174" s="83" t="str">
        <f>REPLACE(INDEX(GroupVertices[Group],MATCH(Vertices[[#This Row],[Vertex]],GroupVertices[Vertex],0)),1,1,"")</f>
        <v>3</v>
      </c>
      <c r="AV174" s="45"/>
      <c r="AW174" s="46"/>
      <c r="AX174" s="45"/>
      <c r="AY174" s="46"/>
      <c r="AZ174" s="45"/>
      <c r="BA174" s="46"/>
      <c r="BB174" s="45"/>
      <c r="BC174" s="46"/>
      <c r="BD174" s="45"/>
      <c r="BE174" s="110" t="s">
        <v>1874</v>
      </c>
      <c r="BF174" s="110" t="s">
        <v>1874</v>
      </c>
      <c r="BG174" s="110" t="s">
        <v>1874</v>
      </c>
      <c r="BH174" s="110" t="s">
        <v>1874</v>
      </c>
      <c r="BI174" s="2"/>
    </row>
    <row r="175" spans="1:61" ht="15">
      <c r="A175" s="61" t="s">
        <v>383</v>
      </c>
      <c r="B175" s="62" t="s">
        <v>2893</v>
      </c>
      <c r="C175" s="62"/>
      <c r="D175" s="63">
        <v>100</v>
      </c>
      <c r="E175" s="65">
        <v>50</v>
      </c>
      <c r="F175" s="100" t="str">
        <f>HYPERLINK("https://yt3.ggpht.com/ytc/AGIKgqMVhuRU1Z4kq93BO-j0s0WoTt6UrTh25h88_A=s88-c-k-c0x00ffffff-no-rj")</f>
        <v>https://yt3.ggpht.com/ytc/AGIKgqMVhuRU1Z4kq93BO-j0s0WoTt6UrTh25h88_A=s88-c-k-c0x00ffffff-no-rj</v>
      </c>
      <c r="G175" s="62"/>
      <c r="H175" s="66" t="s">
        <v>1221</v>
      </c>
      <c r="I175" s="67"/>
      <c r="J175" s="67" t="s">
        <v>159</v>
      </c>
      <c r="K175" s="66" t="s">
        <v>1221</v>
      </c>
      <c r="L175" s="70"/>
      <c r="M175" s="71">
        <v>2629.391357421875</v>
      </c>
      <c r="N175" s="71">
        <v>2884.542724609375</v>
      </c>
      <c r="O175" s="72"/>
      <c r="P175" s="73"/>
      <c r="Q175" s="73"/>
      <c r="R175" s="94"/>
      <c r="S175" s="45">
        <v>0</v>
      </c>
      <c r="T175" s="45">
        <v>1</v>
      </c>
      <c r="U175" s="46">
        <v>0</v>
      </c>
      <c r="V175" s="46">
        <v>0.046698</v>
      </c>
      <c r="W175" s="46">
        <v>0</v>
      </c>
      <c r="X175" s="46">
        <v>0.002058</v>
      </c>
      <c r="Y175" s="46">
        <v>0</v>
      </c>
      <c r="Z175" s="46">
        <v>0</v>
      </c>
      <c r="AA175" s="68">
        <v>175</v>
      </c>
      <c r="AB175" s="68"/>
      <c r="AC175" s="69"/>
      <c r="AD175" s="83" t="s">
        <v>1221</v>
      </c>
      <c r="AE175" s="83"/>
      <c r="AF175" s="83"/>
      <c r="AG175" s="83"/>
      <c r="AH175" s="83"/>
      <c r="AI175" s="83" t="s">
        <v>2253</v>
      </c>
      <c r="AJ175" s="83" t="s">
        <v>2606</v>
      </c>
      <c r="AK175" s="89" t="str">
        <f>HYPERLINK("https://yt3.ggpht.com/ytc/AGIKgqMVhuRU1Z4kq93BO-j0s0WoTt6UrTh25h88_A=s88-c-k-c0x00ffffff-no-rj")</f>
        <v>https://yt3.ggpht.com/ytc/AGIKgqMVhuRU1Z4kq93BO-j0s0WoTt6UrTh25h88_A=s88-c-k-c0x00ffffff-no-rj</v>
      </c>
      <c r="AL175" s="83">
        <v>0</v>
      </c>
      <c r="AM175" s="83">
        <v>0</v>
      </c>
      <c r="AN175" s="83">
        <v>0</v>
      </c>
      <c r="AO175" s="83" t="b">
        <v>0</v>
      </c>
      <c r="AP175" s="83">
        <v>0</v>
      </c>
      <c r="AQ175" s="83"/>
      <c r="AR175" s="83"/>
      <c r="AS175" s="83" t="s">
        <v>2744</v>
      </c>
      <c r="AT175" s="89" t="str">
        <f>HYPERLINK("https://www.youtube.com/channel/UCOOS_hqq0eVtTWc0FsyjCrA")</f>
        <v>https://www.youtube.com/channel/UCOOS_hqq0eVtTWc0FsyjCrA</v>
      </c>
      <c r="AU175" s="83" t="str">
        <f>REPLACE(INDEX(GroupVertices[Group],MATCH(Vertices[[#This Row],[Vertex]],GroupVertices[Vertex],0)),1,1,"")</f>
        <v>3</v>
      </c>
      <c r="AV175" s="45"/>
      <c r="AW175" s="46"/>
      <c r="AX175" s="45"/>
      <c r="AY175" s="46"/>
      <c r="AZ175" s="45"/>
      <c r="BA175" s="46"/>
      <c r="BB175" s="45"/>
      <c r="BC175" s="46"/>
      <c r="BD175" s="45"/>
      <c r="BE175" s="110" t="s">
        <v>1874</v>
      </c>
      <c r="BF175" s="110" t="s">
        <v>1874</v>
      </c>
      <c r="BG175" s="110" t="s">
        <v>1874</v>
      </c>
      <c r="BH175" s="110" t="s">
        <v>1874</v>
      </c>
      <c r="BI175" s="2"/>
    </row>
    <row r="176" spans="1:61" ht="15">
      <c r="A176" s="61" t="s">
        <v>384</v>
      </c>
      <c r="B176" s="62" t="s">
        <v>2893</v>
      </c>
      <c r="C176" s="62"/>
      <c r="D176" s="63">
        <v>100</v>
      </c>
      <c r="E176" s="65">
        <v>50</v>
      </c>
      <c r="F176" s="100" t="str">
        <f>HYPERLINK("https://yt3.ggpht.com/p4aKTFGft0YZ5z8nSG3_DmWy3pnhbp42-8IPJWVL_YVQnt6sUcDt4eM8lcxjDMWTOdH7HcjDsQ=s88-c-k-c0x00ffffff-no-rj")</f>
        <v>https://yt3.ggpht.com/p4aKTFGft0YZ5z8nSG3_DmWy3pnhbp42-8IPJWVL_YVQnt6sUcDt4eM8lcxjDMWTOdH7HcjDsQ=s88-c-k-c0x00ffffff-no-rj</v>
      </c>
      <c r="G176" s="62"/>
      <c r="H176" s="66" t="s">
        <v>1222</v>
      </c>
      <c r="I176" s="67"/>
      <c r="J176" s="67" t="s">
        <v>159</v>
      </c>
      <c r="K176" s="66" t="s">
        <v>1222</v>
      </c>
      <c r="L176" s="70"/>
      <c r="M176" s="71">
        <v>9533.62109375</v>
      </c>
      <c r="N176" s="71">
        <v>421.3061828613281</v>
      </c>
      <c r="O176" s="72"/>
      <c r="P176" s="73"/>
      <c r="Q176" s="73"/>
      <c r="R176" s="94"/>
      <c r="S176" s="45">
        <v>0</v>
      </c>
      <c r="T176" s="45">
        <v>1</v>
      </c>
      <c r="U176" s="46">
        <v>0</v>
      </c>
      <c r="V176" s="46">
        <v>0.002364</v>
      </c>
      <c r="W176" s="46">
        <v>0</v>
      </c>
      <c r="X176" s="46">
        <v>0.002194</v>
      </c>
      <c r="Y176" s="46">
        <v>0</v>
      </c>
      <c r="Z176" s="46">
        <v>0</v>
      </c>
      <c r="AA176" s="68">
        <v>176</v>
      </c>
      <c r="AB176" s="68"/>
      <c r="AC176" s="69"/>
      <c r="AD176" s="83" t="s">
        <v>1222</v>
      </c>
      <c r="AE176" s="83" t="s">
        <v>1989</v>
      </c>
      <c r="AF176" s="83"/>
      <c r="AG176" s="83"/>
      <c r="AH176" s="83"/>
      <c r="AI176" s="83" t="s">
        <v>2254</v>
      </c>
      <c r="AJ176" s="92">
        <v>40277.660775462966</v>
      </c>
      <c r="AK176" s="89" t="str">
        <f>HYPERLINK("https://yt3.ggpht.com/p4aKTFGft0YZ5z8nSG3_DmWy3pnhbp42-8IPJWVL_YVQnt6sUcDt4eM8lcxjDMWTOdH7HcjDsQ=s88-c-k-c0x00ffffff-no-rj")</f>
        <v>https://yt3.ggpht.com/p4aKTFGft0YZ5z8nSG3_DmWy3pnhbp42-8IPJWVL_YVQnt6sUcDt4eM8lcxjDMWTOdH7HcjDsQ=s88-c-k-c0x00ffffff-no-rj</v>
      </c>
      <c r="AL176" s="83">
        <v>1729</v>
      </c>
      <c r="AM176" s="83">
        <v>0</v>
      </c>
      <c r="AN176" s="83">
        <v>2</v>
      </c>
      <c r="AO176" s="83" t="b">
        <v>0</v>
      </c>
      <c r="AP176" s="83">
        <v>11</v>
      </c>
      <c r="AQ176" s="83"/>
      <c r="AR176" s="83"/>
      <c r="AS176" s="83" t="s">
        <v>2744</v>
      </c>
      <c r="AT176" s="89" t="str">
        <f>HYPERLINK("https://www.youtube.com/channel/UCYMRmke8t4Dkym-3zI_yqjg")</f>
        <v>https://www.youtube.com/channel/UCYMRmke8t4Dkym-3zI_yqjg</v>
      </c>
      <c r="AU176" s="83" t="str">
        <f>REPLACE(INDEX(GroupVertices[Group],MATCH(Vertices[[#This Row],[Vertex]],GroupVertices[Vertex],0)),1,1,"")</f>
        <v>20</v>
      </c>
      <c r="AV176" s="45"/>
      <c r="AW176" s="46"/>
      <c r="AX176" s="45"/>
      <c r="AY176" s="46"/>
      <c r="AZ176" s="45"/>
      <c r="BA176" s="46"/>
      <c r="BB176" s="45"/>
      <c r="BC176" s="46"/>
      <c r="BD176" s="45"/>
      <c r="BE176" s="110" t="s">
        <v>1874</v>
      </c>
      <c r="BF176" s="110" t="s">
        <v>1874</v>
      </c>
      <c r="BG176" s="110" t="s">
        <v>1874</v>
      </c>
      <c r="BH176" s="110" t="s">
        <v>1874</v>
      </c>
      <c r="BI176" s="2"/>
    </row>
    <row r="177" spans="1:61" ht="15">
      <c r="A177" s="61" t="s">
        <v>645</v>
      </c>
      <c r="B177" s="62" t="s">
        <v>2893</v>
      </c>
      <c r="C177" s="62"/>
      <c r="D177" s="63">
        <v>117.82178217821783</v>
      </c>
      <c r="E177" s="65">
        <v>62.5</v>
      </c>
      <c r="F177" s="100" t="str">
        <f>HYPERLINK("https://yt3.ggpht.com/ytc/AGIKgqMTWY_Ym1qS6KH8OGsink77RVojXQFgmUwKOIRM=s88-c-k-c0x00ffffff-no-rj")</f>
        <v>https://yt3.ggpht.com/ytc/AGIKgqMTWY_Ym1qS6KH8OGsink77RVojXQFgmUwKOIRM=s88-c-k-c0x00ffffff-no-rj</v>
      </c>
      <c r="G177" s="62"/>
      <c r="H177" s="66" t="s">
        <v>1901</v>
      </c>
      <c r="I177" s="67"/>
      <c r="J177" s="67" t="s">
        <v>159</v>
      </c>
      <c r="K177" s="66" t="s">
        <v>1901</v>
      </c>
      <c r="L177" s="70"/>
      <c r="M177" s="71">
        <v>9312.01171875</v>
      </c>
      <c r="N177" s="71">
        <v>421.3061828613281</v>
      </c>
      <c r="O177" s="72"/>
      <c r="P177" s="73"/>
      <c r="Q177" s="73"/>
      <c r="R177" s="94"/>
      <c r="S177" s="45">
        <v>2</v>
      </c>
      <c r="T177" s="45">
        <v>1</v>
      </c>
      <c r="U177" s="46">
        <v>0</v>
      </c>
      <c r="V177" s="46">
        <v>0.002364</v>
      </c>
      <c r="W177" s="46">
        <v>0</v>
      </c>
      <c r="X177" s="46">
        <v>0.002523</v>
      </c>
      <c r="Y177" s="46">
        <v>0</v>
      </c>
      <c r="Z177" s="46">
        <v>0</v>
      </c>
      <c r="AA177" s="68">
        <v>177</v>
      </c>
      <c r="AB177" s="68"/>
      <c r="AC177" s="69"/>
      <c r="AD177" s="83" t="s">
        <v>1901</v>
      </c>
      <c r="AE177" s="83" t="s">
        <v>1990</v>
      </c>
      <c r="AF177" s="83"/>
      <c r="AG177" s="83"/>
      <c r="AH177" s="83"/>
      <c r="AI177" s="83" t="s">
        <v>2255</v>
      </c>
      <c r="AJ177" s="83" t="s">
        <v>2607</v>
      </c>
      <c r="AK177" s="89" t="str">
        <f>HYPERLINK("https://yt3.ggpht.com/ytc/AGIKgqMTWY_Ym1qS6KH8OGsink77RVojXQFgmUwKOIRM=s88-c-k-c0x00ffffff-no-rj")</f>
        <v>https://yt3.ggpht.com/ytc/AGIKgqMTWY_Ym1qS6KH8OGsink77RVojXQFgmUwKOIRM=s88-c-k-c0x00ffffff-no-rj</v>
      </c>
      <c r="AL177" s="83">
        <v>41708</v>
      </c>
      <c r="AM177" s="83">
        <v>0</v>
      </c>
      <c r="AN177" s="83">
        <v>358</v>
      </c>
      <c r="AO177" s="83" t="b">
        <v>0</v>
      </c>
      <c r="AP177" s="83">
        <v>208</v>
      </c>
      <c r="AQ177" s="83"/>
      <c r="AR177" s="83"/>
      <c r="AS177" s="83" t="s">
        <v>2744</v>
      </c>
      <c r="AT177" s="89" t="str">
        <f>HYPERLINK("https://www.youtube.com/channel/UCkToL_dA1Ur_clei6Zvbxsg")</f>
        <v>https://www.youtube.com/channel/UCkToL_dA1Ur_clei6Zvbxsg</v>
      </c>
      <c r="AU177" s="83" t="str">
        <f>REPLACE(INDEX(GroupVertices[Group],MATCH(Vertices[[#This Row],[Vertex]],GroupVertices[Vertex],0)),1,1,"")</f>
        <v>20</v>
      </c>
      <c r="AV177" s="45"/>
      <c r="AW177" s="46"/>
      <c r="AX177" s="45"/>
      <c r="AY177" s="46"/>
      <c r="AZ177" s="45"/>
      <c r="BA177" s="46"/>
      <c r="BB177" s="45"/>
      <c r="BC177" s="46"/>
      <c r="BD177" s="45"/>
      <c r="BE177" s="110" t="s">
        <v>1874</v>
      </c>
      <c r="BF177" s="110" t="s">
        <v>1874</v>
      </c>
      <c r="BG177" s="110" t="s">
        <v>1874</v>
      </c>
      <c r="BH177" s="110" t="s">
        <v>1874</v>
      </c>
      <c r="BI177" s="2"/>
    </row>
    <row r="178" spans="1:61" ht="15">
      <c r="A178" s="61" t="s">
        <v>385</v>
      </c>
      <c r="B178" s="62" t="s">
        <v>2893</v>
      </c>
      <c r="C178" s="62"/>
      <c r="D178" s="63">
        <v>100</v>
      </c>
      <c r="E178" s="65">
        <v>50</v>
      </c>
      <c r="F178" s="100" t="str">
        <f>HYPERLINK("https://yt3.ggpht.com/ytc/AGIKgqPWFAAXsOndhtqOqLxqUziUa_lnzz4xdnhuoho5=s88-c-k-c0x00ffffff-no-rj")</f>
        <v>https://yt3.ggpht.com/ytc/AGIKgqPWFAAXsOndhtqOqLxqUziUa_lnzz4xdnhuoho5=s88-c-k-c0x00ffffff-no-rj</v>
      </c>
      <c r="G178" s="62"/>
      <c r="H178" s="66" t="s">
        <v>1223</v>
      </c>
      <c r="I178" s="67"/>
      <c r="J178" s="67" t="s">
        <v>159</v>
      </c>
      <c r="K178" s="66" t="s">
        <v>1223</v>
      </c>
      <c r="L178" s="70"/>
      <c r="M178" s="71">
        <v>8830.56640625</v>
      </c>
      <c r="N178" s="71">
        <v>7341.9619140625</v>
      </c>
      <c r="O178" s="72"/>
      <c r="P178" s="73"/>
      <c r="Q178" s="73"/>
      <c r="R178" s="94"/>
      <c r="S178" s="45">
        <v>0</v>
      </c>
      <c r="T178" s="45">
        <v>1</v>
      </c>
      <c r="U178" s="46">
        <v>0</v>
      </c>
      <c r="V178" s="46">
        <v>0.019523</v>
      </c>
      <c r="W178" s="46">
        <v>0</v>
      </c>
      <c r="X178" s="46">
        <v>0.002067</v>
      </c>
      <c r="Y178" s="46">
        <v>0</v>
      </c>
      <c r="Z178" s="46">
        <v>0</v>
      </c>
      <c r="AA178" s="68">
        <v>178</v>
      </c>
      <c r="AB178" s="68"/>
      <c r="AC178" s="69"/>
      <c r="AD178" s="83" t="s">
        <v>1223</v>
      </c>
      <c r="AE178" s="83"/>
      <c r="AF178" s="83"/>
      <c r="AG178" s="83"/>
      <c r="AH178" s="83"/>
      <c r="AI178" s="83" t="s">
        <v>2256</v>
      </c>
      <c r="AJ178" s="83" t="s">
        <v>2608</v>
      </c>
      <c r="AK178" s="89" t="str">
        <f>HYPERLINK("https://yt3.ggpht.com/ytc/AGIKgqPWFAAXsOndhtqOqLxqUziUa_lnzz4xdnhuoho5=s88-c-k-c0x00ffffff-no-rj")</f>
        <v>https://yt3.ggpht.com/ytc/AGIKgqPWFAAXsOndhtqOqLxqUziUa_lnzz4xdnhuoho5=s88-c-k-c0x00ffffff-no-rj</v>
      </c>
      <c r="AL178" s="83">
        <v>0</v>
      </c>
      <c r="AM178" s="83">
        <v>0</v>
      </c>
      <c r="AN178" s="83">
        <v>3</v>
      </c>
      <c r="AO178" s="83" t="b">
        <v>0</v>
      </c>
      <c r="AP178" s="83">
        <v>0</v>
      </c>
      <c r="AQ178" s="83"/>
      <c r="AR178" s="83"/>
      <c r="AS178" s="83" t="s">
        <v>2744</v>
      </c>
      <c r="AT178" s="89" t="str">
        <f>HYPERLINK("https://www.youtube.com/channel/UC2vYA1dKaIZt4lvp9q39Zsg")</f>
        <v>https://www.youtube.com/channel/UC2vYA1dKaIZt4lvp9q39Zsg</v>
      </c>
      <c r="AU178" s="83" t="str">
        <f>REPLACE(INDEX(GroupVertices[Group],MATCH(Vertices[[#This Row],[Vertex]],GroupVertices[Vertex],0)),1,1,"")</f>
        <v>8</v>
      </c>
      <c r="AV178" s="45"/>
      <c r="AW178" s="46"/>
      <c r="AX178" s="45"/>
      <c r="AY178" s="46"/>
      <c r="AZ178" s="45"/>
      <c r="BA178" s="46"/>
      <c r="BB178" s="45"/>
      <c r="BC178" s="46"/>
      <c r="BD178" s="45"/>
      <c r="BE178" s="110" t="s">
        <v>1874</v>
      </c>
      <c r="BF178" s="110" t="s">
        <v>1874</v>
      </c>
      <c r="BG178" s="110" t="s">
        <v>1874</v>
      </c>
      <c r="BH178" s="110" t="s">
        <v>1874</v>
      </c>
      <c r="BI178" s="2"/>
    </row>
    <row r="179" spans="1:61" ht="15">
      <c r="A179" s="61" t="s">
        <v>647</v>
      </c>
      <c r="B179" s="62" t="s">
        <v>2893</v>
      </c>
      <c r="C179" s="62"/>
      <c r="D179" s="63">
        <v>251.4851485148515</v>
      </c>
      <c r="E179" s="65">
        <v>100</v>
      </c>
      <c r="F179" s="100" t="str">
        <f>HYPERLINK("https://yt3.ggpht.com/ytc/AGIKgqNuckvg6WBV47LvNmkPx4VMOxVhb_O06GXoMg=s88-c-k-c0x00ffffff-no-rj")</f>
        <v>https://yt3.ggpht.com/ytc/AGIKgqNuckvg6WBV47LvNmkPx4VMOxVhb_O06GXoMg=s88-c-k-c0x00ffffff-no-rj</v>
      </c>
      <c r="G179" s="62"/>
      <c r="H179" s="66" t="s">
        <v>1902</v>
      </c>
      <c r="I179" s="67"/>
      <c r="J179" s="67" t="s">
        <v>75</v>
      </c>
      <c r="K179" s="66" t="s">
        <v>1902</v>
      </c>
      <c r="L179" s="70"/>
      <c r="M179" s="71">
        <v>9126.4140625</v>
      </c>
      <c r="N179" s="71">
        <v>9454.111328125</v>
      </c>
      <c r="O179" s="72"/>
      <c r="P179" s="73"/>
      <c r="Q179" s="73"/>
      <c r="R179" s="94"/>
      <c r="S179" s="45">
        <v>17</v>
      </c>
      <c r="T179" s="45">
        <v>1</v>
      </c>
      <c r="U179" s="46">
        <v>240</v>
      </c>
      <c r="V179" s="46">
        <v>0.037825</v>
      </c>
      <c r="W179" s="46">
        <v>0</v>
      </c>
      <c r="X179" s="46">
        <v>0.007027</v>
      </c>
      <c r="Y179" s="46">
        <v>0</v>
      </c>
      <c r="Z179" s="46">
        <v>0</v>
      </c>
      <c r="AA179" s="68">
        <v>179</v>
      </c>
      <c r="AB179" s="68"/>
      <c r="AC179" s="69"/>
      <c r="AD179" s="83" t="s">
        <v>1902</v>
      </c>
      <c r="AE179" s="83"/>
      <c r="AF179" s="83"/>
      <c r="AG179" s="83"/>
      <c r="AH179" s="83"/>
      <c r="AI179" s="83" t="s">
        <v>2257</v>
      </c>
      <c r="AJ179" s="83" t="s">
        <v>2609</v>
      </c>
      <c r="AK179" s="89" t="str">
        <f>HYPERLINK("https://yt3.ggpht.com/ytc/AGIKgqNuckvg6WBV47LvNmkPx4VMOxVhb_O06GXoMg=s88-c-k-c0x00ffffff-no-rj")</f>
        <v>https://yt3.ggpht.com/ytc/AGIKgqNuckvg6WBV47LvNmkPx4VMOxVhb_O06GXoMg=s88-c-k-c0x00ffffff-no-rj</v>
      </c>
      <c r="AL179" s="83">
        <v>346050</v>
      </c>
      <c r="AM179" s="83">
        <v>0</v>
      </c>
      <c r="AN179" s="83">
        <v>436</v>
      </c>
      <c r="AO179" s="83" t="b">
        <v>0</v>
      </c>
      <c r="AP179" s="83">
        <v>492</v>
      </c>
      <c r="AQ179" s="83"/>
      <c r="AR179" s="83"/>
      <c r="AS179" s="83" t="s">
        <v>2744</v>
      </c>
      <c r="AT179" s="89" t="str">
        <f>HYPERLINK("https://www.youtube.com/channel/UC2aoRR08A9FS0eIo0owmRQA")</f>
        <v>https://www.youtube.com/channel/UC2aoRR08A9FS0eIo0owmRQA</v>
      </c>
      <c r="AU179" s="83" t="str">
        <f>REPLACE(INDEX(GroupVertices[Group],MATCH(Vertices[[#This Row],[Vertex]],GroupVertices[Vertex],0)),1,1,"")</f>
        <v>8</v>
      </c>
      <c r="AV179" s="45"/>
      <c r="AW179" s="46"/>
      <c r="AX179" s="45"/>
      <c r="AY179" s="46"/>
      <c r="AZ179" s="45"/>
      <c r="BA179" s="46"/>
      <c r="BB179" s="45"/>
      <c r="BC179" s="46"/>
      <c r="BD179" s="45"/>
      <c r="BE179" s="110" t="s">
        <v>1874</v>
      </c>
      <c r="BF179" s="110" t="s">
        <v>1874</v>
      </c>
      <c r="BG179" s="110" t="s">
        <v>1874</v>
      </c>
      <c r="BH179" s="110" t="s">
        <v>1874</v>
      </c>
      <c r="BI179" s="2"/>
    </row>
    <row r="180" spans="1:61" ht="15">
      <c r="A180" s="61" t="s">
        <v>386</v>
      </c>
      <c r="B180" s="62" t="s">
        <v>2893</v>
      </c>
      <c r="C180" s="62"/>
      <c r="D180" s="63">
        <v>100</v>
      </c>
      <c r="E180" s="65">
        <v>50</v>
      </c>
      <c r="F180" s="100" t="str">
        <f>HYPERLINK("https://yt3.ggpht.com/ytc/AGIKgqPXN727EI8yD_Joph61ylWCTzb0_BJcs8s49yy3LQ=s88-c-k-c0x00ffffff-no-rj")</f>
        <v>https://yt3.ggpht.com/ytc/AGIKgqPXN727EI8yD_Joph61ylWCTzb0_BJcs8s49yy3LQ=s88-c-k-c0x00ffffff-no-rj</v>
      </c>
      <c r="G180" s="62"/>
      <c r="H180" s="66" t="s">
        <v>1224</v>
      </c>
      <c r="I180" s="67"/>
      <c r="J180" s="67" t="s">
        <v>159</v>
      </c>
      <c r="K180" s="66" t="s">
        <v>1224</v>
      </c>
      <c r="L180" s="70"/>
      <c r="M180" s="71">
        <v>9718.1103515625</v>
      </c>
      <c r="N180" s="71">
        <v>7870</v>
      </c>
      <c r="O180" s="72"/>
      <c r="P180" s="73"/>
      <c r="Q180" s="73"/>
      <c r="R180" s="94"/>
      <c r="S180" s="45">
        <v>0</v>
      </c>
      <c r="T180" s="45">
        <v>1</v>
      </c>
      <c r="U180" s="46">
        <v>0</v>
      </c>
      <c r="V180" s="46">
        <v>0.019523</v>
      </c>
      <c r="W180" s="46">
        <v>0</v>
      </c>
      <c r="X180" s="46">
        <v>0.002067</v>
      </c>
      <c r="Y180" s="46">
        <v>0</v>
      </c>
      <c r="Z180" s="46">
        <v>0</v>
      </c>
      <c r="AA180" s="68">
        <v>180</v>
      </c>
      <c r="AB180" s="68"/>
      <c r="AC180" s="69"/>
      <c r="AD180" s="83" t="s">
        <v>1224</v>
      </c>
      <c r="AE180" s="83"/>
      <c r="AF180" s="83"/>
      <c r="AG180" s="83"/>
      <c r="AH180" s="83"/>
      <c r="AI180" s="83" t="s">
        <v>2258</v>
      </c>
      <c r="AJ180" s="92">
        <v>41894.64403935185</v>
      </c>
      <c r="AK180" s="89" t="str">
        <f>HYPERLINK("https://yt3.ggpht.com/ytc/AGIKgqPXN727EI8yD_Joph61ylWCTzb0_BJcs8s49yy3LQ=s88-c-k-c0x00ffffff-no-rj")</f>
        <v>https://yt3.ggpht.com/ytc/AGIKgqPXN727EI8yD_Joph61ylWCTzb0_BJcs8s49yy3LQ=s88-c-k-c0x00ffffff-no-rj</v>
      </c>
      <c r="AL180" s="83">
        <v>0</v>
      </c>
      <c r="AM180" s="83">
        <v>0</v>
      </c>
      <c r="AN180" s="83">
        <v>0</v>
      </c>
      <c r="AO180" s="83" t="b">
        <v>0</v>
      </c>
      <c r="AP180" s="83">
        <v>0</v>
      </c>
      <c r="AQ180" s="83"/>
      <c r="AR180" s="83"/>
      <c r="AS180" s="83" t="s">
        <v>2744</v>
      </c>
      <c r="AT180" s="89" t="str">
        <f>HYPERLINK("https://www.youtube.com/channel/UC23kNc2jtONpt3oK3mjUn8g")</f>
        <v>https://www.youtube.com/channel/UC23kNc2jtONpt3oK3mjUn8g</v>
      </c>
      <c r="AU180" s="83" t="str">
        <f>REPLACE(INDEX(GroupVertices[Group],MATCH(Vertices[[#This Row],[Vertex]],GroupVertices[Vertex],0)),1,1,"")</f>
        <v>8</v>
      </c>
      <c r="AV180" s="45"/>
      <c r="AW180" s="46"/>
      <c r="AX180" s="45"/>
      <c r="AY180" s="46"/>
      <c r="AZ180" s="45"/>
      <c r="BA180" s="46"/>
      <c r="BB180" s="45"/>
      <c r="BC180" s="46"/>
      <c r="BD180" s="45"/>
      <c r="BE180" s="110" t="s">
        <v>1874</v>
      </c>
      <c r="BF180" s="110" t="s">
        <v>1874</v>
      </c>
      <c r="BG180" s="110" t="s">
        <v>1874</v>
      </c>
      <c r="BH180" s="110" t="s">
        <v>1874</v>
      </c>
      <c r="BI180" s="2"/>
    </row>
    <row r="181" spans="1:61" ht="15">
      <c r="A181" s="61" t="s">
        <v>387</v>
      </c>
      <c r="B181" s="62" t="s">
        <v>2893</v>
      </c>
      <c r="C181" s="62"/>
      <c r="D181" s="63">
        <v>100</v>
      </c>
      <c r="E181" s="65">
        <v>50</v>
      </c>
      <c r="F181" s="100" t="str">
        <f>HYPERLINK("https://yt3.ggpht.com/ytc/AGIKgqMlQonBa1u6Zw2G9Fv6LQu1EcExqvPHGg73vpN2=s88-c-k-c0x00ffffff-no-rj")</f>
        <v>https://yt3.ggpht.com/ytc/AGIKgqMlQonBa1u6Zw2G9Fv6LQu1EcExqvPHGg73vpN2=s88-c-k-c0x00ffffff-no-rj</v>
      </c>
      <c r="G181" s="62"/>
      <c r="H181" s="66" t="s">
        <v>1225</v>
      </c>
      <c r="I181" s="67"/>
      <c r="J181" s="67" t="s">
        <v>159</v>
      </c>
      <c r="K181" s="66" t="s">
        <v>1225</v>
      </c>
      <c r="L181" s="70"/>
      <c r="M181" s="71">
        <v>9422.2626953125</v>
      </c>
      <c r="N181" s="71">
        <v>7870</v>
      </c>
      <c r="O181" s="72"/>
      <c r="P181" s="73"/>
      <c r="Q181" s="73"/>
      <c r="R181" s="94"/>
      <c r="S181" s="45">
        <v>0</v>
      </c>
      <c r="T181" s="45">
        <v>1</v>
      </c>
      <c r="U181" s="46">
        <v>0</v>
      </c>
      <c r="V181" s="46">
        <v>0.019523</v>
      </c>
      <c r="W181" s="46">
        <v>0</v>
      </c>
      <c r="X181" s="46">
        <v>0.002067</v>
      </c>
      <c r="Y181" s="46">
        <v>0</v>
      </c>
      <c r="Z181" s="46">
        <v>0</v>
      </c>
      <c r="AA181" s="68">
        <v>181</v>
      </c>
      <c r="AB181" s="68"/>
      <c r="AC181" s="69"/>
      <c r="AD181" s="83" t="s">
        <v>1225</v>
      </c>
      <c r="AE181" s="83"/>
      <c r="AF181" s="83"/>
      <c r="AG181" s="83"/>
      <c r="AH181" s="83"/>
      <c r="AI181" s="83" t="s">
        <v>2259</v>
      </c>
      <c r="AJ181" s="92">
        <v>41831.58174768519</v>
      </c>
      <c r="AK181" s="89" t="str">
        <f>HYPERLINK("https://yt3.ggpht.com/ytc/AGIKgqMlQonBa1u6Zw2G9Fv6LQu1EcExqvPHGg73vpN2=s88-c-k-c0x00ffffff-no-rj")</f>
        <v>https://yt3.ggpht.com/ytc/AGIKgqMlQonBa1u6Zw2G9Fv6LQu1EcExqvPHGg73vpN2=s88-c-k-c0x00ffffff-no-rj</v>
      </c>
      <c r="AL181" s="83">
        <v>0</v>
      </c>
      <c r="AM181" s="83">
        <v>0</v>
      </c>
      <c r="AN181" s="83">
        <v>72</v>
      </c>
      <c r="AO181" s="83" t="b">
        <v>0</v>
      </c>
      <c r="AP181" s="83">
        <v>0</v>
      </c>
      <c r="AQ181" s="83"/>
      <c r="AR181" s="83"/>
      <c r="AS181" s="83" t="s">
        <v>2744</v>
      </c>
      <c r="AT181" s="89" t="str">
        <f>HYPERLINK("https://www.youtube.com/channel/UCMQ6X7lnyBPxEvRdIaw-Fzw")</f>
        <v>https://www.youtube.com/channel/UCMQ6X7lnyBPxEvRdIaw-Fzw</v>
      </c>
      <c r="AU181" s="83" t="str">
        <f>REPLACE(INDEX(GroupVertices[Group],MATCH(Vertices[[#This Row],[Vertex]],GroupVertices[Vertex],0)),1,1,"")</f>
        <v>8</v>
      </c>
      <c r="AV181" s="45"/>
      <c r="AW181" s="46"/>
      <c r="AX181" s="45"/>
      <c r="AY181" s="46"/>
      <c r="AZ181" s="45"/>
      <c r="BA181" s="46"/>
      <c r="BB181" s="45"/>
      <c r="BC181" s="46"/>
      <c r="BD181" s="45"/>
      <c r="BE181" s="110" t="s">
        <v>1874</v>
      </c>
      <c r="BF181" s="110" t="s">
        <v>1874</v>
      </c>
      <c r="BG181" s="110" t="s">
        <v>1874</v>
      </c>
      <c r="BH181" s="110" t="s">
        <v>1874</v>
      </c>
      <c r="BI181" s="2"/>
    </row>
    <row r="182" spans="1:61" ht="15">
      <c r="A182" s="61" t="s">
        <v>388</v>
      </c>
      <c r="B182" s="62" t="s">
        <v>2893</v>
      </c>
      <c r="C182" s="62"/>
      <c r="D182" s="63">
        <v>100</v>
      </c>
      <c r="E182" s="65">
        <v>50</v>
      </c>
      <c r="F182" s="100" t="str">
        <f>HYPERLINK("https://yt3.ggpht.com/ytc/AGIKgqNBrOoU2lrTj8W9WEcphsOnSVxum0zACXpaD_WsTQ=s88-c-k-c0x00ffffff-no-rj")</f>
        <v>https://yt3.ggpht.com/ytc/AGIKgqNBrOoU2lrTj8W9WEcphsOnSVxum0zACXpaD_WsTQ=s88-c-k-c0x00ffffff-no-rj</v>
      </c>
      <c r="G182" s="62"/>
      <c r="H182" s="66" t="s">
        <v>1226</v>
      </c>
      <c r="I182" s="67"/>
      <c r="J182" s="67" t="s">
        <v>159</v>
      </c>
      <c r="K182" s="66" t="s">
        <v>1226</v>
      </c>
      <c r="L182" s="70"/>
      <c r="M182" s="71">
        <v>9126.4140625</v>
      </c>
      <c r="N182" s="71">
        <v>7870</v>
      </c>
      <c r="O182" s="72"/>
      <c r="P182" s="73"/>
      <c r="Q182" s="73"/>
      <c r="R182" s="94"/>
      <c r="S182" s="45">
        <v>0</v>
      </c>
      <c r="T182" s="45">
        <v>1</v>
      </c>
      <c r="U182" s="46">
        <v>0</v>
      </c>
      <c r="V182" s="46">
        <v>0.019523</v>
      </c>
      <c r="W182" s="46">
        <v>0</v>
      </c>
      <c r="X182" s="46">
        <v>0.002067</v>
      </c>
      <c r="Y182" s="46">
        <v>0</v>
      </c>
      <c r="Z182" s="46">
        <v>0</v>
      </c>
      <c r="AA182" s="68">
        <v>182</v>
      </c>
      <c r="AB182" s="68"/>
      <c r="AC182" s="69"/>
      <c r="AD182" s="83" t="s">
        <v>1226</v>
      </c>
      <c r="AE182" s="83"/>
      <c r="AF182" s="83"/>
      <c r="AG182" s="83"/>
      <c r="AH182" s="83"/>
      <c r="AI182" s="83" t="s">
        <v>2260</v>
      </c>
      <c r="AJ182" s="83" t="s">
        <v>2610</v>
      </c>
      <c r="AK182" s="89" t="str">
        <f>HYPERLINK("https://yt3.ggpht.com/ytc/AGIKgqNBrOoU2lrTj8W9WEcphsOnSVxum0zACXpaD_WsTQ=s88-c-k-c0x00ffffff-no-rj")</f>
        <v>https://yt3.ggpht.com/ytc/AGIKgqNBrOoU2lrTj8W9WEcphsOnSVxum0zACXpaD_WsTQ=s88-c-k-c0x00ffffff-no-rj</v>
      </c>
      <c r="AL182" s="83">
        <v>5656</v>
      </c>
      <c r="AM182" s="83">
        <v>0</v>
      </c>
      <c r="AN182" s="83">
        <v>17</v>
      </c>
      <c r="AO182" s="83" t="b">
        <v>0</v>
      </c>
      <c r="AP182" s="83">
        <v>85</v>
      </c>
      <c r="AQ182" s="83"/>
      <c r="AR182" s="83"/>
      <c r="AS182" s="83" t="s">
        <v>2744</v>
      </c>
      <c r="AT182" s="89" t="str">
        <f>HYPERLINK("https://www.youtube.com/channel/UCotYsw64baD7u3cHwgNgtNQ")</f>
        <v>https://www.youtube.com/channel/UCotYsw64baD7u3cHwgNgtNQ</v>
      </c>
      <c r="AU182" s="83" t="str">
        <f>REPLACE(INDEX(GroupVertices[Group],MATCH(Vertices[[#This Row],[Vertex]],GroupVertices[Vertex],0)),1,1,"")</f>
        <v>8</v>
      </c>
      <c r="AV182" s="45"/>
      <c r="AW182" s="46"/>
      <c r="AX182" s="45"/>
      <c r="AY182" s="46"/>
      <c r="AZ182" s="45"/>
      <c r="BA182" s="46"/>
      <c r="BB182" s="45"/>
      <c r="BC182" s="46"/>
      <c r="BD182" s="45"/>
      <c r="BE182" s="110" t="s">
        <v>1874</v>
      </c>
      <c r="BF182" s="110" t="s">
        <v>1874</v>
      </c>
      <c r="BG182" s="110" t="s">
        <v>1874</v>
      </c>
      <c r="BH182" s="110" t="s">
        <v>1874</v>
      </c>
      <c r="BI182" s="2"/>
    </row>
    <row r="183" spans="1:61" ht="15">
      <c r="A183" s="61" t="s">
        <v>389</v>
      </c>
      <c r="B183" s="62" t="s">
        <v>2893</v>
      </c>
      <c r="C183" s="62"/>
      <c r="D183" s="63">
        <v>100</v>
      </c>
      <c r="E183" s="65">
        <v>50</v>
      </c>
      <c r="F183" s="100" t="str">
        <f>HYPERLINK("https://yt3.ggpht.com/ytc/AGIKgqPeVBQJd8DytYAvVU4XD3HbpNAAj_BrODjrrJsW=s88-c-k-c0x00ffffff-no-rj")</f>
        <v>https://yt3.ggpht.com/ytc/AGIKgqPeVBQJd8DytYAvVU4XD3HbpNAAj_BrODjrrJsW=s88-c-k-c0x00ffffff-no-rj</v>
      </c>
      <c r="G183" s="62"/>
      <c r="H183" s="66" t="s">
        <v>1227</v>
      </c>
      <c r="I183" s="67"/>
      <c r="J183" s="67" t="s">
        <v>159</v>
      </c>
      <c r="K183" s="66" t="s">
        <v>1227</v>
      </c>
      <c r="L183" s="70"/>
      <c r="M183" s="71">
        <v>8830.56640625</v>
      </c>
      <c r="N183" s="71">
        <v>7870</v>
      </c>
      <c r="O183" s="72"/>
      <c r="P183" s="73"/>
      <c r="Q183" s="73"/>
      <c r="R183" s="94"/>
      <c r="S183" s="45">
        <v>0</v>
      </c>
      <c r="T183" s="45">
        <v>1</v>
      </c>
      <c r="U183" s="46">
        <v>0</v>
      </c>
      <c r="V183" s="46">
        <v>0.019523</v>
      </c>
      <c r="W183" s="46">
        <v>0</v>
      </c>
      <c r="X183" s="46">
        <v>0.002067</v>
      </c>
      <c r="Y183" s="46">
        <v>0</v>
      </c>
      <c r="Z183" s="46">
        <v>0</v>
      </c>
      <c r="AA183" s="68">
        <v>183</v>
      </c>
      <c r="AB183" s="68"/>
      <c r="AC183" s="69"/>
      <c r="AD183" s="83" t="s">
        <v>1227</v>
      </c>
      <c r="AE183" s="83"/>
      <c r="AF183" s="83"/>
      <c r="AG183" s="83"/>
      <c r="AH183" s="83"/>
      <c r="AI183" s="83" t="s">
        <v>2261</v>
      </c>
      <c r="AJ183" s="92">
        <v>43017.57506944444</v>
      </c>
      <c r="AK183" s="89" t="str">
        <f>HYPERLINK("https://yt3.ggpht.com/ytc/AGIKgqPeVBQJd8DytYAvVU4XD3HbpNAAj_BrODjrrJsW=s88-c-k-c0x00ffffff-no-rj")</f>
        <v>https://yt3.ggpht.com/ytc/AGIKgqPeVBQJd8DytYAvVU4XD3HbpNAAj_BrODjrrJsW=s88-c-k-c0x00ffffff-no-rj</v>
      </c>
      <c r="AL183" s="83">
        <v>0</v>
      </c>
      <c r="AM183" s="83">
        <v>0</v>
      </c>
      <c r="AN183" s="83">
        <v>0</v>
      </c>
      <c r="AO183" s="83" t="b">
        <v>0</v>
      </c>
      <c r="AP183" s="83">
        <v>0</v>
      </c>
      <c r="AQ183" s="83"/>
      <c r="AR183" s="83"/>
      <c r="AS183" s="83" t="s">
        <v>2744</v>
      </c>
      <c r="AT183" s="89" t="str">
        <f>HYPERLINK("https://www.youtube.com/channel/UCM_CoWRsOFxIjHIbj8qk0mw")</f>
        <v>https://www.youtube.com/channel/UCM_CoWRsOFxIjHIbj8qk0mw</v>
      </c>
      <c r="AU183" s="83" t="str">
        <f>REPLACE(INDEX(GroupVertices[Group],MATCH(Vertices[[#This Row],[Vertex]],GroupVertices[Vertex],0)),1,1,"")</f>
        <v>8</v>
      </c>
      <c r="AV183" s="45"/>
      <c r="AW183" s="46"/>
      <c r="AX183" s="45"/>
      <c r="AY183" s="46"/>
      <c r="AZ183" s="45"/>
      <c r="BA183" s="46"/>
      <c r="BB183" s="45"/>
      <c r="BC183" s="46"/>
      <c r="BD183" s="45"/>
      <c r="BE183" s="110" t="s">
        <v>1874</v>
      </c>
      <c r="BF183" s="110" t="s">
        <v>1874</v>
      </c>
      <c r="BG183" s="110" t="s">
        <v>1874</v>
      </c>
      <c r="BH183" s="110" t="s">
        <v>1874</v>
      </c>
      <c r="BI183" s="2"/>
    </row>
    <row r="184" spans="1:61" ht="15">
      <c r="A184" s="61" t="s">
        <v>390</v>
      </c>
      <c r="B184" s="62" t="s">
        <v>2893</v>
      </c>
      <c r="C184" s="62"/>
      <c r="D184" s="63">
        <v>100</v>
      </c>
      <c r="E184" s="65">
        <v>50</v>
      </c>
      <c r="F184" s="100" t="str">
        <f>HYPERLINK("https://yt3.ggpht.com/ytc/AGIKgqNdnSj857AymfVekmjxJ_LOVLPzSr8WxnMWfNrfRg=s88-c-k-c0x00ffffff-no-rj")</f>
        <v>https://yt3.ggpht.com/ytc/AGIKgqNdnSj857AymfVekmjxJ_LOVLPzSr8WxnMWfNrfRg=s88-c-k-c0x00ffffff-no-rj</v>
      </c>
      <c r="G184" s="62"/>
      <c r="H184" s="66" t="s">
        <v>1228</v>
      </c>
      <c r="I184" s="67"/>
      <c r="J184" s="67" t="s">
        <v>159</v>
      </c>
      <c r="K184" s="66" t="s">
        <v>1228</v>
      </c>
      <c r="L184" s="70"/>
      <c r="M184" s="71">
        <v>9718.1103515625</v>
      </c>
      <c r="N184" s="71">
        <v>8398.0361328125</v>
      </c>
      <c r="O184" s="72"/>
      <c r="P184" s="73"/>
      <c r="Q184" s="73"/>
      <c r="R184" s="94"/>
      <c r="S184" s="45">
        <v>0</v>
      </c>
      <c r="T184" s="45">
        <v>1</v>
      </c>
      <c r="U184" s="46">
        <v>0</v>
      </c>
      <c r="V184" s="46">
        <v>0.019523</v>
      </c>
      <c r="W184" s="46">
        <v>0</v>
      </c>
      <c r="X184" s="46">
        <v>0.002067</v>
      </c>
      <c r="Y184" s="46">
        <v>0</v>
      </c>
      <c r="Z184" s="46">
        <v>0</v>
      </c>
      <c r="AA184" s="68">
        <v>184</v>
      </c>
      <c r="AB184" s="68"/>
      <c r="AC184" s="69"/>
      <c r="AD184" s="83" t="s">
        <v>1228</v>
      </c>
      <c r="AE184" s="83"/>
      <c r="AF184" s="83"/>
      <c r="AG184" s="83"/>
      <c r="AH184" s="83"/>
      <c r="AI184" s="83" t="s">
        <v>2262</v>
      </c>
      <c r="AJ184" s="83" t="s">
        <v>2611</v>
      </c>
      <c r="AK184" s="89" t="str">
        <f>HYPERLINK("https://yt3.ggpht.com/ytc/AGIKgqNdnSj857AymfVekmjxJ_LOVLPzSr8WxnMWfNrfRg=s88-c-k-c0x00ffffff-no-rj")</f>
        <v>https://yt3.ggpht.com/ytc/AGIKgqNdnSj857AymfVekmjxJ_LOVLPzSr8WxnMWfNrfRg=s88-c-k-c0x00ffffff-no-rj</v>
      </c>
      <c r="AL184" s="83">
        <v>0</v>
      </c>
      <c r="AM184" s="83">
        <v>0</v>
      </c>
      <c r="AN184" s="83">
        <v>2</v>
      </c>
      <c r="AO184" s="83" t="b">
        <v>0</v>
      </c>
      <c r="AP184" s="83">
        <v>0</v>
      </c>
      <c r="AQ184" s="83"/>
      <c r="AR184" s="83"/>
      <c r="AS184" s="83" t="s">
        <v>2744</v>
      </c>
      <c r="AT184" s="89" t="str">
        <f>HYPERLINK("https://www.youtube.com/channel/UCyRLj8raQ-tOBLaCO0I82Ng")</f>
        <v>https://www.youtube.com/channel/UCyRLj8raQ-tOBLaCO0I82Ng</v>
      </c>
      <c r="AU184" s="83" t="str">
        <f>REPLACE(INDEX(GroupVertices[Group],MATCH(Vertices[[#This Row],[Vertex]],GroupVertices[Vertex],0)),1,1,"")</f>
        <v>8</v>
      </c>
      <c r="AV184" s="45"/>
      <c r="AW184" s="46"/>
      <c r="AX184" s="45"/>
      <c r="AY184" s="46"/>
      <c r="AZ184" s="45"/>
      <c r="BA184" s="46"/>
      <c r="BB184" s="45"/>
      <c r="BC184" s="46"/>
      <c r="BD184" s="45"/>
      <c r="BE184" s="110" t="s">
        <v>1874</v>
      </c>
      <c r="BF184" s="110" t="s">
        <v>1874</v>
      </c>
      <c r="BG184" s="110" t="s">
        <v>1874</v>
      </c>
      <c r="BH184" s="110" t="s">
        <v>1874</v>
      </c>
      <c r="BI184" s="2"/>
    </row>
    <row r="185" spans="1:61" ht="15">
      <c r="A185" s="61" t="s">
        <v>391</v>
      </c>
      <c r="B185" s="62" t="s">
        <v>2893</v>
      </c>
      <c r="C185" s="62"/>
      <c r="D185" s="63">
        <v>100</v>
      </c>
      <c r="E185" s="65">
        <v>50</v>
      </c>
      <c r="F185" s="100" t="str">
        <f>HYPERLINK("https://yt3.ggpht.com/m1gYmjXgvXdoY08lKJ-Cm9mBG_bdHA8QSn4xc1OrCnFmpHoBkODRBKcUnXlBR0KGvbojWD5CWQ=s88-c-k-c0x00ffffff-no-rj")</f>
        <v>https://yt3.ggpht.com/m1gYmjXgvXdoY08lKJ-Cm9mBG_bdHA8QSn4xc1OrCnFmpHoBkODRBKcUnXlBR0KGvbojWD5CWQ=s88-c-k-c0x00ffffff-no-rj</v>
      </c>
      <c r="G185" s="62"/>
      <c r="H185" s="66" t="s">
        <v>1229</v>
      </c>
      <c r="I185" s="67"/>
      <c r="J185" s="67" t="s">
        <v>159</v>
      </c>
      <c r="K185" s="66" t="s">
        <v>1229</v>
      </c>
      <c r="L185" s="70"/>
      <c r="M185" s="71">
        <v>9422.2626953125</v>
      </c>
      <c r="N185" s="71">
        <v>8398.0361328125</v>
      </c>
      <c r="O185" s="72"/>
      <c r="P185" s="73"/>
      <c r="Q185" s="73"/>
      <c r="R185" s="94"/>
      <c r="S185" s="45">
        <v>0</v>
      </c>
      <c r="T185" s="45">
        <v>1</v>
      </c>
      <c r="U185" s="46">
        <v>0</v>
      </c>
      <c r="V185" s="46">
        <v>0.019523</v>
      </c>
      <c r="W185" s="46">
        <v>0</v>
      </c>
      <c r="X185" s="46">
        <v>0.002067</v>
      </c>
      <c r="Y185" s="46">
        <v>0</v>
      </c>
      <c r="Z185" s="46">
        <v>0</v>
      </c>
      <c r="AA185" s="68">
        <v>185</v>
      </c>
      <c r="AB185" s="68"/>
      <c r="AC185" s="69"/>
      <c r="AD185" s="83" t="s">
        <v>1229</v>
      </c>
      <c r="AE185" s="83"/>
      <c r="AF185" s="83"/>
      <c r="AG185" s="83"/>
      <c r="AH185" s="83"/>
      <c r="AI185" s="83" t="s">
        <v>2263</v>
      </c>
      <c r="AJ185" s="92">
        <v>40603.22195601852</v>
      </c>
      <c r="AK185" s="89" t="str">
        <f>HYPERLINK("https://yt3.ggpht.com/m1gYmjXgvXdoY08lKJ-Cm9mBG_bdHA8QSn4xc1OrCnFmpHoBkODRBKcUnXlBR0KGvbojWD5CWQ=s88-c-k-c0x00ffffff-no-rj")</f>
        <v>https://yt3.ggpht.com/m1gYmjXgvXdoY08lKJ-Cm9mBG_bdHA8QSn4xc1OrCnFmpHoBkODRBKcUnXlBR0KGvbojWD5CWQ=s88-c-k-c0x00ffffff-no-rj</v>
      </c>
      <c r="AL185" s="83">
        <v>107150</v>
      </c>
      <c r="AM185" s="83">
        <v>0</v>
      </c>
      <c r="AN185" s="83">
        <v>356</v>
      </c>
      <c r="AO185" s="83" t="b">
        <v>0</v>
      </c>
      <c r="AP185" s="83">
        <v>3</v>
      </c>
      <c r="AQ185" s="83"/>
      <c r="AR185" s="83"/>
      <c r="AS185" s="83" t="s">
        <v>2744</v>
      </c>
      <c r="AT185" s="89" t="str">
        <f>HYPERLINK("https://www.youtube.com/channel/UCrBJcT_sItIaC5HIjTNYCXA")</f>
        <v>https://www.youtube.com/channel/UCrBJcT_sItIaC5HIjTNYCXA</v>
      </c>
      <c r="AU185" s="83" t="str">
        <f>REPLACE(INDEX(GroupVertices[Group],MATCH(Vertices[[#This Row],[Vertex]],GroupVertices[Vertex],0)),1,1,"")</f>
        <v>8</v>
      </c>
      <c r="AV185" s="45"/>
      <c r="AW185" s="46"/>
      <c r="AX185" s="45"/>
      <c r="AY185" s="46"/>
      <c r="AZ185" s="45"/>
      <c r="BA185" s="46"/>
      <c r="BB185" s="45"/>
      <c r="BC185" s="46"/>
      <c r="BD185" s="45"/>
      <c r="BE185" s="110" t="s">
        <v>1874</v>
      </c>
      <c r="BF185" s="110" t="s">
        <v>1874</v>
      </c>
      <c r="BG185" s="110" t="s">
        <v>1874</v>
      </c>
      <c r="BH185" s="110" t="s">
        <v>1874</v>
      </c>
      <c r="BI185" s="2"/>
    </row>
    <row r="186" spans="1:61" ht="15">
      <c r="A186" s="61" t="s">
        <v>392</v>
      </c>
      <c r="B186" s="62" t="s">
        <v>2893</v>
      </c>
      <c r="C186" s="62"/>
      <c r="D186" s="63">
        <v>100</v>
      </c>
      <c r="E186" s="65">
        <v>50</v>
      </c>
      <c r="F186" s="100" t="str">
        <f>HYPERLINK("https://yt3.ggpht.com/ytc/AGIKgqO_tyOXAhhfiF9SwrF0_J6khUiUvfyHYo3sZw=s88-c-k-c0x00ffffff-no-rj")</f>
        <v>https://yt3.ggpht.com/ytc/AGIKgqO_tyOXAhhfiF9SwrF0_J6khUiUvfyHYo3sZw=s88-c-k-c0x00ffffff-no-rj</v>
      </c>
      <c r="G186" s="62"/>
      <c r="H186" s="66" t="s">
        <v>1230</v>
      </c>
      <c r="I186" s="67"/>
      <c r="J186" s="67" t="s">
        <v>159</v>
      </c>
      <c r="K186" s="66" t="s">
        <v>1230</v>
      </c>
      <c r="L186" s="70"/>
      <c r="M186" s="71">
        <v>9126.4140625</v>
      </c>
      <c r="N186" s="71">
        <v>8398.0361328125</v>
      </c>
      <c r="O186" s="72"/>
      <c r="P186" s="73"/>
      <c r="Q186" s="73"/>
      <c r="R186" s="94"/>
      <c r="S186" s="45">
        <v>0</v>
      </c>
      <c r="T186" s="45">
        <v>1</v>
      </c>
      <c r="U186" s="46">
        <v>0</v>
      </c>
      <c r="V186" s="46">
        <v>0.019523</v>
      </c>
      <c r="W186" s="46">
        <v>0</v>
      </c>
      <c r="X186" s="46">
        <v>0.002067</v>
      </c>
      <c r="Y186" s="46">
        <v>0</v>
      </c>
      <c r="Z186" s="46">
        <v>0</v>
      </c>
      <c r="AA186" s="68">
        <v>186</v>
      </c>
      <c r="AB186" s="68"/>
      <c r="AC186" s="69"/>
      <c r="AD186" s="83" t="s">
        <v>1230</v>
      </c>
      <c r="AE186" s="83"/>
      <c r="AF186" s="83"/>
      <c r="AG186" s="83"/>
      <c r="AH186" s="83"/>
      <c r="AI186" s="83" t="s">
        <v>2264</v>
      </c>
      <c r="AJ186" s="92">
        <v>41406.90699074074</v>
      </c>
      <c r="AK186" s="89" t="str">
        <f>HYPERLINK("https://yt3.ggpht.com/ytc/AGIKgqO_tyOXAhhfiF9SwrF0_J6khUiUvfyHYo3sZw=s88-c-k-c0x00ffffff-no-rj")</f>
        <v>https://yt3.ggpht.com/ytc/AGIKgqO_tyOXAhhfiF9SwrF0_J6khUiUvfyHYo3sZw=s88-c-k-c0x00ffffff-no-rj</v>
      </c>
      <c r="AL186" s="83">
        <v>2783</v>
      </c>
      <c r="AM186" s="83">
        <v>0</v>
      </c>
      <c r="AN186" s="83">
        <v>22</v>
      </c>
      <c r="AO186" s="83" t="b">
        <v>0</v>
      </c>
      <c r="AP186" s="83">
        <v>14</v>
      </c>
      <c r="AQ186" s="83"/>
      <c r="AR186" s="83"/>
      <c r="AS186" s="83" t="s">
        <v>2744</v>
      </c>
      <c r="AT186" s="89" t="str">
        <f>HYPERLINK("https://www.youtube.com/channel/UCevWhyTPCHqF3vRb7kTCzcw")</f>
        <v>https://www.youtube.com/channel/UCevWhyTPCHqF3vRb7kTCzcw</v>
      </c>
      <c r="AU186" s="83" t="str">
        <f>REPLACE(INDEX(GroupVertices[Group],MATCH(Vertices[[#This Row],[Vertex]],GroupVertices[Vertex],0)),1,1,"")</f>
        <v>8</v>
      </c>
      <c r="AV186" s="45"/>
      <c r="AW186" s="46"/>
      <c r="AX186" s="45"/>
      <c r="AY186" s="46"/>
      <c r="AZ186" s="45"/>
      <c r="BA186" s="46"/>
      <c r="BB186" s="45"/>
      <c r="BC186" s="46"/>
      <c r="BD186" s="45"/>
      <c r="BE186" s="110" t="s">
        <v>1874</v>
      </c>
      <c r="BF186" s="110" t="s">
        <v>1874</v>
      </c>
      <c r="BG186" s="110" t="s">
        <v>1874</v>
      </c>
      <c r="BH186" s="110" t="s">
        <v>1874</v>
      </c>
      <c r="BI186" s="2"/>
    </row>
    <row r="187" spans="1:61" ht="15">
      <c r="A187" s="61" t="s">
        <v>393</v>
      </c>
      <c r="B187" s="62" t="s">
        <v>2893</v>
      </c>
      <c r="C187" s="62"/>
      <c r="D187" s="63">
        <v>100</v>
      </c>
      <c r="E187" s="65">
        <v>50</v>
      </c>
      <c r="F187" s="100" t="str">
        <f>HYPERLINK("https://yt3.ggpht.com/ytc/AGIKgqNIvt3uJWdOwiSnWCoFfqaNqYmyGL_3GLKKX_O9pQ=s88-c-k-c0x00ffffff-no-rj")</f>
        <v>https://yt3.ggpht.com/ytc/AGIKgqNIvt3uJWdOwiSnWCoFfqaNqYmyGL_3GLKKX_O9pQ=s88-c-k-c0x00ffffff-no-rj</v>
      </c>
      <c r="G187" s="62"/>
      <c r="H187" s="66" t="s">
        <v>1231</v>
      </c>
      <c r="I187" s="67"/>
      <c r="J187" s="67" t="s">
        <v>159</v>
      </c>
      <c r="K187" s="66" t="s">
        <v>1231</v>
      </c>
      <c r="L187" s="70"/>
      <c r="M187" s="71">
        <v>8830.56640625</v>
      </c>
      <c r="N187" s="71">
        <v>8398.0361328125</v>
      </c>
      <c r="O187" s="72"/>
      <c r="P187" s="73"/>
      <c r="Q187" s="73"/>
      <c r="R187" s="94"/>
      <c r="S187" s="45">
        <v>0</v>
      </c>
      <c r="T187" s="45">
        <v>1</v>
      </c>
      <c r="U187" s="46">
        <v>0</v>
      </c>
      <c r="V187" s="46">
        <v>0.019523</v>
      </c>
      <c r="W187" s="46">
        <v>0</v>
      </c>
      <c r="X187" s="46">
        <v>0.002067</v>
      </c>
      <c r="Y187" s="46">
        <v>0</v>
      </c>
      <c r="Z187" s="46">
        <v>0</v>
      </c>
      <c r="AA187" s="68">
        <v>187</v>
      </c>
      <c r="AB187" s="68"/>
      <c r="AC187" s="69"/>
      <c r="AD187" s="83" t="s">
        <v>1231</v>
      </c>
      <c r="AE187" s="83" t="s">
        <v>1991</v>
      </c>
      <c r="AF187" s="83"/>
      <c r="AG187" s="83"/>
      <c r="AH187" s="83"/>
      <c r="AI187" s="83" t="s">
        <v>2265</v>
      </c>
      <c r="AJ187" s="83" t="s">
        <v>2612</v>
      </c>
      <c r="AK187" s="89" t="str">
        <f>HYPERLINK("https://yt3.ggpht.com/ytc/AGIKgqNIvt3uJWdOwiSnWCoFfqaNqYmyGL_3GLKKX_O9pQ=s88-c-k-c0x00ffffff-no-rj")</f>
        <v>https://yt3.ggpht.com/ytc/AGIKgqNIvt3uJWdOwiSnWCoFfqaNqYmyGL_3GLKKX_O9pQ=s88-c-k-c0x00ffffff-no-rj</v>
      </c>
      <c r="AL187" s="83">
        <v>19424</v>
      </c>
      <c r="AM187" s="83">
        <v>0</v>
      </c>
      <c r="AN187" s="83">
        <v>96</v>
      </c>
      <c r="AO187" s="83" t="b">
        <v>0</v>
      </c>
      <c r="AP187" s="83">
        <v>365</v>
      </c>
      <c r="AQ187" s="83"/>
      <c r="AR187" s="83"/>
      <c r="AS187" s="83" t="s">
        <v>2744</v>
      </c>
      <c r="AT187" s="89" t="str">
        <f>HYPERLINK("https://www.youtube.com/channel/UCOJiq8sbgB7MZvNJULhw18w")</f>
        <v>https://www.youtube.com/channel/UCOJiq8sbgB7MZvNJULhw18w</v>
      </c>
      <c r="AU187" s="83" t="str">
        <f>REPLACE(INDEX(GroupVertices[Group],MATCH(Vertices[[#This Row],[Vertex]],GroupVertices[Vertex],0)),1,1,"")</f>
        <v>8</v>
      </c>
      <c r="AV187" s="45"/>
      <c r="AW187" s="46"/>
      <c r="AX187" s="45"/>
      <c r="AY187" s="46"/>
      <c r="AZ187" s="45"/>
      <c r="BA187" s="46"/>
      <c r="BB187" s="45"/>
      <c r="BC187" s="46"/>
      <c r="BD187" s="45"/>
      <c r="BE187" s="110" t="s">
        <v>1874</v>
      </c>
      <c r="BF187" s="110" t="s">
        <v>1874</v>
      </c>
      <c r="BG187" s="110" t="s">
        <v>1874</v>
      </c>
      <c r="BH187" s="110" t="s">
        <v>1874</v>
      </c>
      <c r="BI187" s="2"/>
    </row>
    <row r="188" spans="1:61" ht="15">
      <c r="A188" s="61" t="s">
        <v>394</v>
      </c>
      <c r="B188" s="62" t="s">
        <v>2893</v>
      </c>
      <c r="C188" s="62"/>
      <c r="D188" s="63">
        <v>100</v>
      </c>
      <c r="E188" s="65">
        <v>50</v>
      </c>
      <c r="F188" s="100" t="str">
        <f>HYPERLINK("https://yt3.ggpht.com/ytc/AGIKgqOYfR7r0THWfOOgP0AAsFCC6R_7FZXtRPk3vI_Waw=s88-c-k-c0x00ffffff-no-rj")</f>
        <v>https://yt3.ggpht.com/ytc/AGIKgqOYfR7r0THWfOOgP0AAsFCC6R_7FZXtRPk3vI_Waw=s88-c-k-c0x00ffffff-no-rj</v>
      </c>
      <c r="G188" s="62"/>
      <c r="H188" s="66" t="s">
        <v>1232</v>
      </c>
      <c r="I188" s="67"/>
      <c r="J188" s="67" t="s">
        <v>159</v>
      </c>
      <c r="K188" s="66" t="s">
        <v>1232</v>
      </c>
      <c r="L188" s="70"/>
      <c r="M188" s="71">
        <v>9718.1103515625</v>
      </c>
      <c r="N188" s="71">
        <v>8926.0732421875</v>
      </c>
      <c r="O188" s="72"/>
      <c r="P188" s="73"/>
      <c r="Q188" s="73"/>
      <c r="R188" s="94"/>
      <c r="S188" s="45">
        <v>0</v>
      </c>
      <c r="T188" s="45">
        <v>1</v>
      </c>
      <c r="U188" s="46">
        <v>0</v>
      </c>
      <c r="V188" s="46">
        <v>0.019523</v>
      </c>
      <c r="W188" s="46">
        <v>0</v>
      </c>
      <c r="X188" s="46">
        <v>0.002067</v>
      </c>
      <c r="Y188" s="46">
        <v>0</v>
      </c>
      <c r="Z188" s="46">
        <v>0</v>
      </c>
      <c r="AA188" s="68">
        <v>188</v>
      </c>
      <c r="AB188" s="68"/>
      <c r="AC188" s="69"/>
      <c r="AD188" s="83" t="s">
        <v>1232</v>
      </c>
      <c r="AE188" s="83"/>
      <c r="AF188" s="83"/>
      <c r="AG188" s="83"/>
      <c r="AH188" s="83"/>
      <c r="AI188" s="83" t="s">
        <v>2266</v>
      </c>
      <c r="AJ188" s="83" t="s">
        <v>2613</v>
      </c>
      <c r="AK188" s="89" t="str">
        <f>HYPERLINK("https://yt3.ggpht.com/ytc/AGIKgqOYfR7r0THWfOOgP0AAsFCC6R_7FZXtRPk3vI_Waw=s88-c-k-c0x00ffffff-no-rj")</f>
        <v>https://yt3.ggpht.com/ytc/AGIKgqOYfR7r0THWfOOgP0AAsFCC6R_7FZXtRPk3vI_Waw=s88-c-k-c0x00ffffff-no-rj</v>
      </c>
      <c r="AL188" s="83">
        <v>73723</v>
      </c>
      <c r="AM188" s="83">
        <v>0</v>
      </c>
      <c r="AN188" s="83">
        <v>614</v>
      </c>
      <c r="AO188" s="83" t="b">
        <v>0</v>
      </c>
      <c r="AP188" s="83">
        <v>7</v>
      </c>
      <c r="AQ188" s="83"/>
      <c r="AR188" s="83"/>
      <c r="AS188" s="83" t="s">
        <v>2744</v>
      </c>
      <c r="AT188" s="89" t="str">
        <f>HYPERLINK("https://www.youtube.com/channel/UCDEZHY8zItSXUC-LUMGhu7w")</f>
        <v>https://www.youtube.com/channel/UCDEZHY8zItSXUC-LUMGhu7w</v>
      </c>
      <c r="AU188" s="83" t="str">
        <f>REPLACE(INDEX(GroupVertices[Group],MATCH(Vertices[[#This Row],[Vertex]],GroupVertices[Vertex],0)),1,1,"")</f>
        <v>8</v>
      </c>
      <c r="AV188" s="45"/>
      <c r="AW188" s="46"/>
      <c r="AX188" s="45"/>
      <c r="AY188" s="46"/>
      <c r="AZ188" s="45"/>
      <c r="BA188" s="46"/>
      <c r="BB188" s="45"/>
      <c r="BC188" s="46"/>
      <c r="BD188" s="45"/>
      <c r="BE188" s="110" t="s">
        <v>1874</v>
      </c>
      <c r="BF188" s="110" t="s">
        <v>1874</v>
      </c>
      <c r="BG188" s="110" t="s">
        <v>1874</v>
      </c>
      <c r="BH188" s="110" t="s">
        <v>1874</v>
      </c>
      <c r="BI188" s="2"/>
    </row>
    <row r="189" spans="1:61" ht="15">
      <c r="A189" s="61" t="s">
        <v>395</v>
      </c>
      <c r="B189" s="62" t="s">
        <v>2893</v>
      </c>
      <c r="C189" s="62"/>
      <c r="D189" s="63">
        <v>100</v>
      </c>
      <c r="E189" s="65">
        <v>50</v>
      </c>
      <c r="F189" s="100" t="str">
        <f>HYPERLINK("https://yt3.ggpht.com/ytc/AGIKgqNKFQ8g6NgaYqGDzI4QlPp92N3f571TJ-agwg=s88-c-k-c0x00ffffff-no-rj")</f>
        <v>https://yt3.ggpht.com/ytc/AGIKgqNKFQ8g6NgaYqGDzI4QlPp92N3f571TJ-agwg=s88-c-k-c0x00ffffff-no-rj</v>
      </c>
      <c r="G189" s="62"/>
      <c r="H189" s="66" t="s">
        <v>1233</v>
      </c>
      <c r="I189" s="67"/>
      <c r="J189" s="67" t="s">
        <v>159</v>
      </c>
      <c r="K189" s="66" t="s">
        <v>1233</v>
      </c>
      <c r="L189" s="70"/>
      <c r="M189" s="71">
        <v>9422.2626953125</v>
      </c>
      <c r="N189" s="71">
        <v>8926.0732421875</v>
      </c>
      <c r="O189" s="72"/>
      <c r="P189" s="73"/>
      <c r="Q189" s="73"/>
      <c r="R189" s="94"/>
      <c r="S189" s="45">
        <v>0</v>
      </c>
      <c r="T189" s="45">
        <v>1</v>
      </c>
      <c r="U189" s="46">
        <v>0</v>
      </c>
      <c r="V189" s="46">
        <v>0.019523</v>
      </c>
      <c r="W189" s="46">
        <v>0</v>
      </c>
      <c r="X189" s="46">
        <v>0.002067</v>
      </c>
      <c r="Y189" s="46">
        <v>0</v>
      </c>
      <c r="Z189" s="46">
        <v>0</v>
      </c>
      <c r="AA189" s="68">
        <v>189</v>
      </c>
      <c r="AB189" s="68"/>
      <c r="AC189" s="69"/>
      <c r="AD189" s="83" t="s">
        <v>1233</v>
      </c>
      <c r="AE189" s="83"/>
      <c r="AF189" s="83"/>
      <c r="AG189" s="83"/>
      <c r="AH189" s="83"/>
      <c r="AI189" s="83" t="s">
        <v>2267</v>
      </c>
      <c r="AJ189" s="83" t="s">
        <v>2614</v>
      </c>
      <c r="AK189" s="89" t="str">
        <f>HYPERLINK("https://yt3.ggpht.com/ytc/AGIKgqNKFQ8g6NgaYqGDzI4QlPp92N3f571TJ-agwg=s88-c-k-c0x00ffffff-no-rj")</f>
        <v>https://yt3.ggpht.com/ytc/AGIKgqNKFQ8g6NgaYqGDzI4QlPp92N3f571TJ-agwg=s88-c-k-c0x00ffffff-no-rj</v>
      </c>
      <c r="AL189" s="83">
        <v>0</v>
      </c>
      <c r="AM189" s="83">
        <v>0</v>
      </c>
      <c r="AN189" s="83">
        <v>0</v>
      </c>
      <c r="AO189" s="83" t="b">
        <v>0</v>
      </c>
      <c r="AP189" s="83">
        <v>0</v>
      </c>
      <c r="AQ189" s="83"/>
      <c r="AR189" s="83"/>
      <c r="AS189" s="83" t="s">
        <v>2744</v>
      </c>
      <c r="AT189" s="89" t="str">
        <f>HYPERLINK("https://www.youtube.com/channel/UCfI__YC1RicTm8JtPBgEi9Q")</f>
        <v>https://www.youtube.com/channel/UCfI__YC1RicTm8JtPBgEi9Q</v>
      </c>
      <c r="AU189" s="83" t="str">
        <f>REPLACE(INDEX(GroupVertices[Group],MATCH(Vertices[[#This Row],[Vertex]],GroupVertices[Vertex],0)),1,1,"")</f>
        <v>8</v>
      </c>
      <c r="AV189" s="45"/>
      <c r="AW189" s="46"/>
      <c r="AX189" s="45"/>
      <c r="AY189" s="46"/>
      <c r="AZ189" s="45"/>
      <c r="BA189" s="46"/>
      <c r="BB189" s="45"/>
      <c r="BC189" s="46"/>
      <c r="BD189" s="45"/>
      <c r="BE189" s="110" t="s">
        <v>1874</v>
      </c>
      <c r="BF189" s="110" t="s">
        <v>1874</v>
      </c>
      <c r="BG189" s="110" t="s">
        <v>1874</v>
      </c>
      <c r="BH189" s="110" t="s">
        <v>1874</v>
      </c>
      <c r="BI189" s="2"/>
    </row>
    <row r="190" spans="1:61" ht="15">
      <c r="A190" s="61" t="s">
        <v>396</v>
      </c>
      <c r="B190" s="62" t="s">
        <v>2893</v>
      </c>
      <c r="C190" s="62"/>
      <c r="D190" s="63">
        <v>100</v>
      </c>
      <c r="E190" s="65">
        <v>50</v>
      </c>
      <c r="F190" s="100" t="str">
        <f>HYPERLINK("https://yt3.ggpht.com/ytc/AGIKgqPlX5h9WvuR4Zw3akTs8FqeZmsIbZvLXNAoDMYIAw=s88-c-k-c0x00ffffff-no-rj")</f>
        <v>https://yt3.ggpht.com/ytc/AGIKgqPlX5h9WvuR4Zw3akTs8FqeZmsIbZvLXNAoDMYIAw=s88-c-k-c0x00ffffff-no-rj</v>
      </c>
      <c r="G190" s="62"/>
      <c r="H190" s="66" t="s">
        <v>1234</v>
      </c>
      <c r="I190" s="67"/>
      <c r="J190" s="67" t="s">
        <v>159</v>
      </c>
      <c r="K190" s="66" t="s">
        <v>1234</v>
      </c>
      <c r="L190" s="70"/>
      <c r="M190" s="71">
        <v>9126.4140625</v>
      </c>
      <c r="N190" s="71">
        <v>8926.0732421875</v>
      </c>
      <c r="O190" s="72"/>
      <c r="P190" s="73"/>
      <c r="Q190" s="73"/>
      <c r="R190" s="94"/>
      <c r="S190" s="45">
        <v>0</v>
      </c>
      <c r="T190" s="45">
        <v>1</v>
      </c>
      <c r="U190" s="46">
        <v>0</v>
      </c>
      <c r="V190" s="46">
        <v>0.019523</v>
      </c>
      <c r="W190" s="46">
        <v>0</v>
      </c>
      <c r="X190" s="46">
        <v>0.002067</v>
      </c>
      <c r="Y190" s="46">
        <v>0</v>
      </c>
      <c r="Z190" s="46">
        <v>0</v>
      </c>
      <c r="AA190" s="68">
        <v>190</v>
      </c>
      <c r="AB190" s="68"/>
      <c r="AC190" s="69"/>
      <c r="AD190" s="83" t="s">
        <v>1234</v>
      </c>
      <c r="AE190" s="83"/>
      <c r="AF190" s="83"/>
      <c r="AG190" s="83"/>
      <c r="AH190" s="83"/>
      <c r="AI190" s="83" t="s">
        <v>2268</v>
      </c>
      <c r="AJ190" s="92">
        <v>44474.91332175926</v>
      </c>
      <c r="AK190" s="89" t="str">
        <f>HYPERLINK("https://yt3.ggpht.com/ytc/AGIKgqPlX5h9WvuR4Zw3akTs8FqeZmsIbZvLXNAoDMYIAw=s88-c-k-c0x00ffffff-no-rj")</f>
        <v>https://yt3.ggpht.com/ytc/AGIKgqPlX5h9WvuR4Zw3akTs8FqeZmsIbZvLXNAoDMYIAw=s88-c-k-c0x00ffffff-no-rj</v>
      </c>
      <c r="AL190" s="83">
        <v>0</v>
      </c>
      <c r="AM190" s="83">
        <v>0</v>
      </c>
      <c r="AN190" s="83">
        <v>0</v>
      </c>
      <c r="AO190" s="83" t="b">
        <v>0</v>
      </c>
      <c r="AP190" s="83">
        <v>0</v>
      </c>
      <c r="AQ190" s="83"/>
      <c r="AR190" s="83"/>
      <c r="AS190" s="83" t="s">
        <v>2744</v>
      </c>
      <c r="AT190" s="89" t="str">
        <f>HYPERLINK("https://www.youtube.com/channel/UCt7zocCBJdxjc8Ej-znNG2A")</f>
        <v>https://www.youtube.com/channel/UCt7zocCBJdxjc8Ej-znNG2A</v>
      </c>
      <c r="AU190" s="83" t="str">
        <f>REPLACE(INDEX(GroupVertices[Group],MATCH(Vertices[[#This Row],[Vertex]],GroupVertices[Vertex],0)),1,1,"")</f>
        <v>8</v>
      </c>
      <c r="AV190" s="45"/>
      <c r="AW190" s="46"/>
      <c r="AX190" s="45"/>
      <c r="AY190" s="46"/>
      <c r="AZ190" s="45"/>
      <c r="BA190" s="46"/>
      <c r="BB190" s="45"/>
      <c r="BC190" s="46"/>
      <c r="BD190" s="45"/>
      <c r="BE190" s="110" t="s">
        <v>1874</v>
      </c>
      <c r="BF190" s="110" t="s">
        <v>1874</v>
      </c>
      <c r="BG190" s="110" t="s">
        <v>1874</v>
      </c>
      <c r="BH190" s="110" t="s">
        <v>1874</v>
      </c>
      <c r="BI190" s="2"/>
    </row>
    <row r="191" spans="1:61" ht="15">
      <c r="A191" s="61" t="s">
        <v>397</v>
      </c>
      <c r="B191" s="62" t="s">
        <v>2893</v>
      </c>
      <c r="C191" s="62"/>
      <c r="D191" s="63">
        <v>100</v>
      </c>
      <c r="E191" s="65">
        <v>50</v>
      </c>
      <c r="F191" s="100" t="str">
        <f>HYPERLINK("https://yt3.ggpht.com/ytc/AGIKgqPOWBByYK81-VJlz-DqwLd3_6YCD9twN-5_Dz4E7g=s88-c-k-c0x00ffffff-no-rj")</f>
        <v>https://yt3.ggpht.com/ytc/AGIKgqPOWBByYK81-VJlz-DqwLd3_6YCD9twN-5_Dz4E7g=s88-c-k-c0x00ffffff-no-rj</v>
      </c>
      <c r="G191" s="62"/>
      <c r="H191" s="66" t="s">
        <v>1235</v>
      </c>
      <c r="I191" s="67"/>
      <c r="J191" s="67" t="s">
        <v>159</v>
      </c>
      <c r="K191" s="66" t="s">
        <v>1235</v>
      </c>
      <c r="L191" s="70"/>
      <c r="M191" s="71">
        <v>8830.56640625</v>
      </c>
      <c r="N191" s="71">
        <v>8926.0732421875</v>
      </c>
      <c r="O191" s="72"/>
      <c r="P191" s="73"/>
      <c r="Q191" s="73"/>
      <c r="R191" s="94"/>
      <c r="S191" s="45">
        <v>0</v>
      </c>
      <c r="T191" s="45">
        <v>1</v>
      </c>
      <c r="U191" s="46">
        <v>0</v>
      </c>
      <c r="V191" s="46">
        <v>0.019523</v>
      </c>
      <c r="W191" s="46">
        <v>0</v>
      </c>
      <c r="X191" s="46">
        <v>0.002067</v>
      </c>
      <c r="Y191" s="46">
        <v>0</v>
      </c>
      <c r="Z191" s="46">
        <v>0</v>
      </c>
      <c r="AA191" s="68">
        <v>191</v>
      </c>
      <c r="AB191" s="68"/>
      <c r="AC191" s="69"/>
      <c r="AD191" s="83" t="s">
        <v>1235</v>
      </c>
      <c r="AE191" s="83" t="s">
        <v>1992</v>
      </c>
      <c r="AF191" s="83"/>
      <c r="AG191" s="83"/>
      <c r="AH191" s="83"/>
      <c r="AI191" s="83" t="s">
        <v>2269</v>
      </c>
      <c r="AJ191" s="83" t="s">
        <v>2615</v>
      </c>
      <c r="AK191" s="89" t="str">
        <f>HYPERLINK("https://yt3.ggpht.com/ytc/AGIKgqPOWBByYK81-VJlz-DqwLd3_6YCD9twN-5_Dz4E7g=s88-c-k-c0x00ffffff-no-rj")</f>
        <v>https://yt3.ggpht.com/ytc/AGIKgqPOWBByYK81-VJlz-DqwLd3_6YCD9twN-5_Dz4E7g=s88-c-k-c0x00ffffff-no-rj</v>
      </c>
      <c r="AL191" s="83">
        <v>0</v>
      </c>
      <c r="AM191" s="83">
        <v>0</v>
      </c>
      <c r="AN191" s="83">
        <v>20</v>
      </c>
      <c r="AO191" s="83" t="b">
        <v>0</v>
      </c>
      <c r="AP191" s="83">
        <v>0</v>
      </c>
      <c r="AQ191" s="83"/>
      <c r="AR191" s="83"/>
      <c r="AS191" s="83" t="s">
        <v>2744</v>
      </c>
      <c r="AT191" s="89" t="str">
        <f>HYPERLINK("https://www.youtube.com/channel/UCsHWNy1MRtuZ_COs0cQdPKg")</f>
        <v>https://www.youtube.com/channel/UCsHWNy1MRtuZ_COs0cQdPKg</v>
      </c>
      <c r="AU191" s="83" t="str">
        <f>REPLACE(INDEX(GroupVertices[Group],MATCH(Vertices[[#This Row],[Vertex]],GroupVertices[Vertex],0)),1,1,"")</f>
        <v>8</v>
      </c>
      <c r="AV191" s="45"/>
      <c r="AW191" s="46"/>
      <c r="AX191" s="45"/>
      <c r="AY191" s="46"/>
      <c r="AZ191" s="45"/>
      <c r="BA191" s="46"/>
      <c r="BB191" s="45"/>
      <c r="BC191" s="46"/>
      <c r="BD191" s="45"/>
      <c r="BE191" s="110" t="s">
        <v>1874</v>
      </c>
      <c r="BF191" s="110" t="s">
        <v>1874</v>
      </c>
      <c r="BG191" s="110" t="s">
        <v>1874</v>
      </c>
      <c r="BH191" s="110" t="s">
        <v>1874</v>
      </c>
      <c r="BI191" s="2"/>
    </row>
    <row r="192" spans="1:61" ht="15">
      <c r="A192" s="61" t="s">
        <v>398</v>
      </c>
      <c r="B192" s="62" t="s">
        <v>2893</v>
      </c>
      <c r="C192" s="62"/>
      <c r="D192" s="63">
        <v>100</v>
      </c>
      <c r="E192" s="65">
        <v>50</v>
      </c>
      <c r="F192" s="100" t="str">
        <f>HYPERLINK("https://yt3.ggpht.com/2yLxulzwnWNCnHdu_P7AmZ77zNpj0I8_Ik3XL9Y4Ei-Dpsv6MOMkBJQsTkrfR51lHrQqid7bG-o=s88-c-k-c0x00ffffff-no-rj")</f>
        <v>https://yt3.ggpht.com/2yLxulzwnWNCnHdu_P7AmZ77zNpj0I8_Ik3XL9Y4Ei-Dpsv6MOMkBJQsTkrfR51lHrQqid7bG-o=s88-c-k-c0x00ffffff-no-rj</v>
      </c>
      <c r="G192" s="62"/>
      <c r="H192" s="66" t="s">
        <v>1236</v>
      </c>
      <c r="I192" s="67"/>
      <c r="J192" s="67" t="s">
        <v>159</v>
      </c>
      <c r="K192" s="66" t="s">
        <v>1236</v>
      </c>
      <c r="L192" s="70"/>
      <c r="M192" s="71">
        <v>9718.1103515625</v>
      </c>
      <c r="N192" s="71">
        <v>9454.111328125</v>
      </c>
      <c r="O192" s="72"/>
      <c r="P192" s="73"/>
      <c r="Q192" s="73"/>
      <c r="R192" s="94"/>
      <c r="S192" s="45">
        <v>0</v>
      </c>
      <c r="T192" s="45">
        <v>1</v>
      </c>
      <c r="U192" s="46">
        <v>0</v>
      </c>
      <c r="V192" s="46">
        <v>0.019523</v>
      </c>
      <c r="W192" s="46">
        <v>0</v>
      </c>
      <c r="X192" s="46">
        <v>0.002067</v>
      </c>
      <c r="Y192" s="46">
        <v>0</v>
      </c>
      <c r="Z192" s="46">
        <v>0</v>
      </c>
      <c r="AA192" s="68">
        <v>192</v>
      </c>
      <c r="AB192" s="68"/>
      <c r="AC192" s="69"/>
      <c r="AD192" s="83" t="s">
        <v>1236</v>
      </c>
      <c r="AE192" s="83" t="s">
        <v>1993</v>
      </c>
      <c r="AF192" s="83"/>
      <c r="AG192" s="83"/>
      <c r="AH192" s="83"/>
      <c r="AI192" s="83" t="s">
        <v>2270</v>
      </c>
      <c r="AJ192" s="83" t="s">
        <v>2616</v>
      </c>
      <c r="AK192" s="89" t="str">
        <f>HYPERLINK("https://yt3.ggpht.com/2yLxulzwnWNCnHdu_P7AmZ77zNpj0I8_Ik3XL9Y4Ei-Dpsv6MOMkBJQsTkrfR51lHrQqid7bG-o=s88-c-k-c0x00ffffff-no-rj")</f>
        <v>https://yt3.ggpht.com/2yLxulzwnWNCnHdu_P7AmZ77zNpj0I8_Ik3XL9Y4Ei-Dpsv6MOMkBJQsTkrfR51lHrQqid7bG-o=s88-c-k-c0x00ffffff-no-rj</v>
      </c>
      <c r="AL192" s="83">
        <v>0</v>
      </c>
      <c r="AM192" s="83">
        <v>0</v>
      </c>
      <c r="AN192" s="83">
        <v>1</v>
      </c>
      <c r="AO192" s="83" t="b">
        <v>0</v>
      </c>
      <c r="AP192" s="83">
        <v>0</v>
      </c>
      <c r="AQ192" s="83"/>
      <c r="AR192" s="83"/>
      <c r="AS192" s="83" t="s">
        <v>2744</v>
      </c>
      <c r="AT192" s="89" t="str">
        <f>HYPERLINK("https://www.youtube.com/channel/UCVdBn5HpwRCfr0wwU2DSMwQ")</f>
        <v>https://www.youtube.com/channel/UCVdBn5HpwRCfr0wwU2DSMwQ</v>
      </c>
      <c r="AU192" s="83" t="str">
        <f>REPLACE(INDEX(GroupVertices[Group],MATCH(Vertices[[#This Row],[Vertex]],GroupVertices[Vertex],0)),1,1,"")</f>
        <v>8</v>
      </c>
      <c r="AV192" s="45"/>
      <c r="AW192" s="46"/>
      <c r="AX192" s="45"/>
      <c r="AY192" s="46"/>
      <c r="AZ192" s="45"/>
      <c r="BA192" s="46"/>
      <c r="BB192" s="45"/>
      <c r="BC192" s="46"/>
      <c r="BD192" s="45"/>
      <c r="BE192" s="110" t="s">
        <v>1874</v>
      </c>
      <c r="BF192" s="110" t="s">
        <v>1874</v>
      </c>
      <c r="BG192" s="110" t="s">
        <v>1874</v>
      </c>
      <c r="BH192" s="110" t="s">
        <v>1874</v>
      </c>
      <c r="BI192" s="2"/>
    </row>
    <row r="193" spans="1:61" ht="15">
      <c r="A193" s="61" t="s">
        <v>399</v>
      </c>
      <c r="B193" s="62" t="s">
        <v>2893</v>
      </c>
      <c r="C193" s="62"/>
      <c r="D193" s="63">
        <v>100</v>
      </c>
      <c r="E193" s="65">
        <v>50</v>
      </c>
      <c r="F193" s="100" t="str">
        <f>HYPERLINK("https://yt3.ggpht.com/ytc/AGIKgqPHJoqJ5zzIWEaAfPena2HD0FJiVVChcE-ojQ-xcw=s88-c-k-c0x00ffffff-no-rj")</f>
        <v>https://yt3.ggpht.com/ytc/AGIKgqPHJoqJ5zzIWEaAfPena2HD0FJiVVChcE-ojQ-xcw=s88-c-k-c0x00ffffff-no-rj</v>
      </c>
      <c r="G193" s="62"/>
      <c r="H193" s="66" t="s">
        <v>1237</v>
      </c>
      <c r="I193" s="67"/>
      <c r="J193" s="67" t="s">
        <v>159</v>
      </c>
      <c r="K193" s="66" t="s">
        <v>1237</v>
      </c>
      <c r="L193" s="70"/>
      <c r="M193" s="71">
        <v>9422.2626953125</v>
      </c>
      <c r="N193" s="71">
        <v>9454.111328125</v>
      </c>
      <c r="O193" s="72"/>
      <c r="P193" s="73"/>
      <c r="Q193" s="73"/>
      <c r="R193" s="94"/>
      <c r="S193" s="45">
        <v>0</v>
      </c>
      <c r="T193" s="45">
        <v>1</v>
      </c>
      <c r="U193" s="46">
        <v>0</v>
      </c>
      <c r="V193" s="46">
        <v>0.019523</v>
      </c>
      <c r="W193" s="46">
        <v>0</v>
      </c>
      <c r="X193" s="46">
        <v>0.002067</v>
      </c>
      <c r="Y193" s="46">
        <v>0</v>
      </c>
      <c r="Z193" s="46">
        <v>0</v>
      </c>
      <c r="AA193" s="68">
        <v>193</v>
      </c>
      <c r="AB193" s="68"/>
      <c r="AC193" s="69"/>
      <c r="AD193" s="83" t="s">
        <v>1237</v>
      </c>
      <c r="AE193" s="83"/>
      <c r="AF193" s="83"/>
      <c r="AG193" s="83"/>
      <c r="AH193" s="83"/>
      <c r="AI193" s="83" t="s">
        <v>2271</v>
      </c>
      <c r="AJ193" s="92">
        <v>44287.20528935185</v>
      </c>
      <c r="AK193" s="89" t="str">
        <f>HYPERLINK("https://yt3.ggpht.com/ytc/AGIKgqPHJoqJ5zzIWEaAfPena2HD0FJiVVChcE-ojQ-xcw=s88-c-k-c0x00ffffff-no-rj")</f>
        <v>https://yt3.ggpht.com/ytc/AGIKgqPHJoqJ5zzIWEaAfPena2HD0FJiVVChcE-ojQ-xcw=s88-c-k-c0x00ffffff-no-rj</v>
      </c>
      <c r="AL193" s="83">
        <v>0</v>
      </c>
      <c r="AM193" s="83">
        <v>0</v>
      </c>
      <c r="AN193" s="83">
        <v>0</v>
      </c>
      <c r="AO193" s="83" t="b">
        <v>0</v>
      </c>
      <c r="AP193" s="83">
        <v>0</v>
      </c>
      <c r="AQ193" s="83"/>
      <c r="AR193" s="83"/>
      <c r="AS193" s="83" t="s">
        <v>2744</v>
      </c>
      <c r="AT193" s="89" t="str">
        <f>HYPERLINK("https://www.youtube.com/channel/UCeZQY5O5qfFKAIig8QpKeuA")</f>
        <v>https://www.youtube.com/channel/UCeZQY5O5qfFKAIig8QpKeuA</v>
      </c>
      <c r="AU193" s="83" t="str">
        <f>REPLACE(INDEX(GroupVertices[Group],MATCH(Vertices[[#This Row],[Vertex]],GroupVertices[Vertex],0)),1,1,"")</f>
        <v>8</v>
      </c>
      <c r="AV193" s="45"/>
      <c r="AW193" s="46"/>
      <c r="AX193" s="45"/>
      <c r="AY193" s="46"/>
      <c r="AZ193" s="45"/>
      <c r="BA193" s="46"/>
      <c r="BB193" s="45"/>
      <c r="BC193" s="46"/>
      <c r="BD193" s="45"/>
      <c r="BE193" s="110" t="s">
        <v>1874</v>
      </c>
      <c r="BF193" s="110" t="s">
        <v>1874</v>
      </c>
      <c r="BG193" s="110" t="s">
        <v>1874</v>
      </c>
      <c r="BH193" s="110" t="s">
        <v>1874</v>
      </c>
      <c r="BI193" s="2"/>
    </row>
    <row r="194" spans="1:61" ht="15">
      <c r="A194" s="61" t="s">
        <v>400</v>
      </c>
      <c r="B194" s="62" t="s">
        <v>2893</v>
      </c>
      <c r="C194" s="62"/>
      <c r="D194" s="63">
        <v>100</v>
      </c>
      <c r="E194" s="65">
        <v>50</v>
      </c>
      <c r="F194" s="100" t="str">
        <f>HYPERLINK("https://yt3.ggpht.com/ytc/AGIKgqOId0HjR0YTF4nYqXaGkvWIZGcFbnsXfFyrOVKI=s88-c-k-c0x00ffffff-no-rj")</f>
        <v>https://yt3.ggpht.com/ytc/AGIKgqOId0HjR0YTF4nYqXaGkvWIZGcFbnsXfFyrOVKI=s88-c-k-c0x00ffffff-no-rj</v>
      </c>
      <c r="G194" s="62"/>
      <c r="H194" s="66" t="s">
        <v>1238</v>
      </c>
      <c r="I194" s="67"/>
      <c r="J194" s="67" t="s">
        <v>159</v>
      </c>
      <c r="K194" s="66" t="s">
        <v>1238</v>
      </c>
      <c r="L194" s="70"/>
      <c r="M194" s="71">
        <v>8830.56640625</v>
      </c>
      <c r="N194" s="71">
        <v>9454.111328125</v>
      </c>
      <c r="O194" s="72"/>
      <c r="P194" s="73"/>
      <c r="Q194" s="73"/>
      <c r="R194" s="94"/>
      <c r="S194" s="45">
        <v>0</v>
      </c>
      <c r="T194" s="45">
        <v>1</v>
      </c>
      <c r="U194" s="46">
        <v>0</v>
      </c>
      <c r="V194" s="46">
        <v>0.019523</v>
      </c>
      <c r="W194" s="46">
        <v>0</v>
      </c>
      <c r="X194" s="46">
        <v>0.002067</v>
      </c>
      <c r="Y194" s="46">
        <v>0</v>
      </c>
      <c r="Z194" s="46">
        <v>0</v>
      </c>
      <c r="AA194" s="68">
        <v>194</v>
      </c>
      <c r="AB194" s="68"/>
      <c r="AC194" s="69"/>
      <c r="AD194" s="83" t="s">
        <v>1238</v>
      </c>
      <c r="AE194" s="83"/>
      <c r="AF194" s="83"/>
      <c r="AG194" s="83"/>
      <c r="AH194" s="83"/>
      <c r="AI194" s="83" t="s">
        <v>2272</v>
      </c>
      <c r="AJ194" s="83" t="s">
        <v>2617</v>
      </c>
      <c r="AK194" s="89" t="str">
        <f>HYPERLINK("https://yt3.ggpht.com/ytc/AGIKgqOId0HjR0YTF4nYqXaGkvWIZGcFbnsXfFyrOVKI=s88-c-k-c0x00ffffff-no-rj")</f>
        <v>https://yt3.ggpht.com/ytc/AGIKgqOId0HjR0YTF4nYqXaGkvWIZGcFbnsXfFyrOVKI=s88-c-k-c0x00ffffff-no-rj</v>
      </c>
      <c r="AL194" s="83">
        <v>183</v>
      </c>
      <c r="AM194" s="83">
        <v>0</v>
      </c>
      <c r="AN194" s="83">
        <v>12</v>
      </c>
      <c r="AO194" s="83" t="b">
        <v>0</v>
      </c>
      <c r="AP194" s="83">
        <v>10</v>
      </c>
      <c r="AQ194" s="83"/>
      <c r="AR194" s="83"/>
      <c r="AS194" s="83" t="s">
        <v>2744</v>
      </c>
      <c r="AT194" s="89" t="str">
        <f>HYPERLINK("https://www.youtube.com/channel/UCGpgo7BwxTLBdcM2ftRZYaA")</f>
        <v>https://www.youtube.com/channel/UCGpgo7BwxTLBdcM2ftRZYaA</v>
      </c>
      <c r="AU194" s="83" t="str">
        <f>REPLACE(INDEX(GroupVertices[Group],MATCH(Vertices[[#This Row],[Vertex]],GroupVertices[Vertex],0)),1,1,"")</f>
        <v>8</v>
      </c>
      <c r="AV194" s="45"/>
      <c r="AW194" s="46"/>
      <c r="AX194" s="45"/>
      <c r="AY194" s="46"/>
      <c r="AZ194" s="45"/>
      <c r="BA194" s="46"/>
      <c r="BB194" s="45"/>
      <c r="BC194" s="46"/>
      <c r="BD194" s="45"/>
      <c r="BE194" s="110" t="s">
        <v>1874</v>
      </c>
      <c r="BF194" s="110" t="s">
        <v>1874</v>
      </c>
      <c r="BG194" s="110" t="s">
        <v>1874</v>
      </c>
      <c r="BH194" s="110" t="s">
        <v>1874</v>
      </c>
      <c r="BI194" s="2"/>
    </row>
    <row r="195" spans="1:61" ht="15">
      <c r="A195" s="61" t="s">
        <v>401</v>
      </c>
      <c r="B195" s="62" t="s">
        <v>2893</v>
      </c>
      <c r="C195" s="62"/>
      <c r="D195" s="63">
        <v>100</v>
      </c>
      <c r="E195" s="65">
        <v>50</v>
      </c>
      <c r="F195" s="100" t="str">
        <f>HYPERLINK("https://yt3.ggpht.com/ytc/AGIKgqNddD7bUPvcc2rggw9gCTydIFiL5eDw8R22LxdX=s88-c-k-c0x00ffffff-no-rj")</f>
        <v>https://yt3.ggpht.com/ytc/AGIKgqNddD7bUPvcc2rggw9gCTydIFiL5eDw8R22LxdX=s88-c-k-c0x00ffffff-no-rj</v>
      </c>
      <c r="G195" s="62"/>
      <c r="H195" s="66" t="s">
        <v>1239</v>
      </c>
      <c r="I195" s="67"/>
      <c r="J195" s="67" t="s">
        <v>159</v>
      </c>
      <c r="K195" s="66" t="s">
        <v>1239</v>
      </c>
      <c r="L195" s="70"/>
      <c r="M195" s="71">
        <v>7197.41845703125</v>
      </c>
      <c r="N195" s="71">
        <v>7341.9619140625</v>
      </c>
      <c r="O195" s="72"/>
      <c r="P195" s="73"/>
      <c r="Q195" s="73"/>
      <c r="R195" s="94"/>
      <c r="S195" s="45">
        <v>0</v>
      </c>
      <c r="T195" s="45">
        <v>1</v>
      </c>
      <c r="U195" s="46">
        <v>0</v>
      </c>
      <c r="V195" s="46">
        <v>0.077723</v>
      </c>
      <c r="W195" s="46">
        <v>0.000861</v>
      </c>
      <c r="X195" s="46">
        <v>0.002063</v>
      </c>
      <c r="Y195" s="46">
        <v>0</v>
      </c>
      <c r="Z195" s="46">
        <v>0</v>
      </c>
      <c r="AA195" s="68">
        <v>195</v>
      </c>
      <c r="AB195" s="68"/>
      <c r="AC195" s="69"/>
      <c r="AD195" s="83" t="s">
        <v>1239</v>
      </c>
      <c r="AE195" s="83"/>
      <c r="AF195" s="83"/>
      <c r="AG195" s="83"/>
      <c r="AH195" s="83"/>
      <c r="AI195" s="83" t="s">
        <v>2273</v>
      </c>
      <c r="AJ195" s="83" t="s">
        <v>2618</v>
      </c>
      <c r="AK195" s="89" t="str">
        <f>HYPERLINK("https://yt3.ggpht.com/ytc/AGIKgqNddD7bUPvcc2rggw9gCTydIFiL5eDw8R22LxdX=s88-c-k-c0x00ffffff-no-rj")</f>
        <v>https://yt3.ggpht.com/ytc/AGIKgqNddD7bUPvcc2rggw9gCTydIFiL5eDw8R22LxdX=s88-c-k-c0x00ffffff-no-rj</v>
      </c>
      <c r="AL195" s="83">
        <v>0</v>
      </c>
      <c r="AM195" s="83">
        <v>0</v>
      </c>
      <c r="AN195" s="83">
        <v>1</v>
      </c>
      <c r="AO195" s="83" t="b">
        <v>0</v>
      </c>
      <c r="AP195" s="83">
        <v>0</v>
      </c>
      <c r="AQ195" s="83"/>
      <c r="AR195" s="83"/>
      <c r="AS195" s="83" t="s">
        <v>2744</v>
      </c>
      <c r="AT195" s="89" t="str">
        <f>HYPERLINK("https://www.youtube.com/channel/UCPJGkKl7Re6jvJbQcWnDHpQ")</f>
        <v>https://www.youtube.com/channel/UCPJGkKl7Re6jvJbQcWnDHpQ</v>
      </c>
      <c r="AU195" s="83" t="str">
        <f>REPLACE(INDEX(GroupVertices[Group],MATCH(Vertices[[#This Row],[Vertex]],GroupVertices[Vertex],0)),1,1,"")</f>
        <v>7</v>
      </c>
      <c r="AV195" s="45"/>
      <c r="AW195" s="46"/>
      <c r="AX195" s="45"/>
      <c r="AY195" s="46"/>
      <c r="AZ195" s="45"/>
      <c r="BA195" s="46"/>
      <c r="BB195" s="45"/>
      <c r="BC195" s="46"/>
      <c r="BD195" s="45"/>
      <c r="BE195" s="110" t="s">
        <v>1874</v>
      </c>
      <c r="BF195" s="110" t="s">
        <v>1874</v>
      </c>
      <c r="BG195" s="110" t="s">
        <v>1874</v>
      </c>
      <c r="BH195" s="110" t="s">
        <v>1874</v>
      </c>
      <c r="BI195" s="2"/>
    </row>
    <row r="196" spans="1:61" ht="15">
      <c r="A196" s="61" t="s">
        <v>649</v>
      </c>
      <c r="B196" s="62" t="s">
        <v>2893</v>
      </c>
      <c r="C196" s="62"/>
      <c r="D196" s="63">
        <v>287.1287128712871</v>
      </c>
      <c r="E196" s="65">
        <v>100</v>
      </c>
      <c r="F196" s="100" t="str">
        <f>HYPERLINK("https://yt3.ggpht.com/ytc/AGIKgqMoUepJGxqUxYqQiYieVMX4uPzvHWfkcX23khDn=s88-c-k-c0x00ffffff-no-rj")</f>
        <v>https://yt3.ggpht.com/ytc/AGIKgqMoUepJGxqUxYqQiYieVMX4uPzvHWfkcX23khDn=s88-c-k-c0x00ffffff-no-rj</v>
      </c>
      <c r="G196" s="62"/>
      <c r="H196" s="66" t="s">
        <v>1450</v>
      </c>
      <c r="I196" s="67"/>
      <c r="J196" s="67" t="s">
        <v>75</v>
      </c>
      <c r="K196" s="66" t="s">
        <v>1450</v>
      </c>
      <c r="L196" s="70"/>
      <c r="M196" s="71">
        <v>7497.9208984375</v>
      </c>
      <c r="N196" s="71">
        <v>9454.111328125</v>
      </c>
      <c r="O196" s="72"/>
      <c r="P196" s="73"/>
      <c r="Q196" s="73"/>
      <c r="R196" s="94"/>
      <c r="S196" s="45">
        <v>21</v>
      </c>
      <c r="T196" s="45">
        <v>1</v>
      </c>
      <c r="U196" s="46">
        <v>4180</v>
      </c>
      <c r="V196" s="46">
        <v>0.106716</v>
      </c>
      <c r="W196" s="46">
        <v>0.009054</v>
      </c>
      <c r="X196" s="46">
        <v>0.008099</v>
      </c>
      <c r="Y196" s="46">
        <v>0</v>
      </c>
      <c r="Z196" s="46">
        <v>0</v>
      </c>
      <c r="AA196" s="68">
        <v>196</v>
      </c>
      <c r="AB196" s="68"/>
      <c r="AC196" s="69"/>
      <c r="AD196" s="83" t="s">
        <v>1450</v>
      </c>
      <c r="AE196" s="83"/>
      <c r="AF196" s="83"/>
      <c r="AG196" s="83"/>
      <c r="AH196" s="83"/>
      <c r="AI196" s="83" t="s">
        <v>2274</v>
      </c>
      <c r="AJ196" s="83" t="s">
        <v>2619</v>
      </c>
      <c r="AK196" s="89" t="str">
        <f>HYPERLINK("https://yt3.ggpht.com/ytc/AGIKgqMoUepJGxqUxYqQiYieVMX4uPzvHWfkcX23khDn=s88-c-k-c0x00ffffff-no-rj")</f>
        <v>https://yt3.ggpht.com/ytc/AGIKgqMoUepJGxqUxYqQiYieVMX4uPzvHWfkcX23khDn=s88-c-k-c0x00ffffff-no-rj</v>
      </c>
      <c r="AL196" s="83">
        <v>459817</v>
      </c>
      <c r="AM196" s="83">
        <v>0</v>
      </c>
      <c r="AN196" s="83">
        <v>371</v>
      </c>
      <c r="AO196" s="83" t="b">
        <v>0</v>
      </c>
      <c r="AP196" s="83">
        <v>40</v>
      </c>
      <c r="AQ196" s="83"/>
      <c r="AR196" s="83"/>
      <c r="AS196" s="83" t="s">
        <v>2744</v>
      </c>
      <c r="AT196" s="89" t="str">
        <f>HYPERLINK("https://www.youtube.com/channel/UCoUh_xk2m2IaRRgV-hwDaoA")</f>
        <v>https://www.youtube.com/channel/UCoUh_xk2m2IaRRgV-hwDaoA</v>
      </c>
      <c r="AU196" s="83" t="str">
        <f>REPLACE(INDEX(GroupVertices[Group],MATCH(Vertices[[#This Row],[Vertex]],GroupVertices[Vertex],0)),1,1,"")</f>
        <v>7</v>
      </c>
      <c r="AV196" s="45"/>
      <c r="AW196" s="46"/>
      <c r="AX196" s="45"/>
      <c r="AY196" s="46"/>
      <c r="AZ196" s="45"/>
      <c r="BA196" s="46"/>
      <c r="BB196" s="45"/>
      <c r="BC196" s="46"/>
      <c r="BD196" s="45"/>
      <c r="BE196" s="110" t="s">
        <v>1874</v>
      </c>
      <c r="BF196" s="110" t="s">
        <v>1874</v>
      </c>
      <c r="BG196" s="110" t="s">
        <v>1874</v>
      </c>
      <c r="BH196" s="110" t="s">
        <v>1874</v>
      </c>
      <c r="BI196" s="2"/>
    </row>
    <row r="197" spans="1:61" ht="15">
      <c r="A197" s="61" t="s">
        <v>402</v>
      </c>
      <c r="B197" s="62" t="s">
        <v>2893</v>
      </c>
      <c r="C197" s="62"/>
      <c r="D197" s="63">
        <v>100</v>
      </c>
      <c r="E197" s="65">
        <v>50</v>
      </c>
      <c r="F197" s="100" t="str">
        <f>HYPERLINK("https://yt3.ggpht.com/ytc/AGIKgqPASBRyHM4WmRc3uM_S4pcAx3tU2btX2VDfaw=s88-c-k-c0x00ffffff-no-rj")</f>
        <v>https://yt3.ggpht.com/ytc/AGIKgqPASBRyHM4WmRc3uM_S4pcAx3tU2btX2VDfaw=s88-c-k-c0x00ffffff-no-rj</v>
      </c>
      <c r="G197" s="62"/>
      <c r="H197" s="66" t="s">
        <v>1240</v>
      </c>
      <c r="I197" s="67"/>
      <c r="J197" s="67" t="s">
        <v>159</v>
      </c>
      <c r="K197" s="66" t="s">
        <v>1240</v>
      </c>
      <c r="L197" s="70"/>
      <c r="M197" s="71">
        <v>8399.42578125</v>
      </c>
      <c r="N197" s="71">
        <v>7870</v>
      </c>
      <c r="O197" s="72"/>
      <c r="P197" s="73"/>
      <c r="Q197" s="73"/>
      <c r="R197" s="94"/>
      <c r="S197" s="45">
        <v>0</v>
      </c>
      <c r="T197" s="45">
        <v>1</v>
      </c>
      <c r="U197" s="46">
        <v>0</v>
      </c>
      <c r="V197" s="46">
        <v>0.077723</v>
      </c>
      <c r="W197" s="46">
        <v>0.000861</v>
      </c>
      <c r="X197" s="46">
        <v>0.002063</v>
      </c>
      <c r="Y197" s="46">
        <v>0</v>
      </c>
      <c r="Z197" s="46">
        <v>0</v>
      </c>
      <c r="AA197" s="68">
        <v>197</v>
      </c>
      <c r="AB197" s="68"/>
      <c r="AC197" s="69"/>
      <c r="AD197" s="83" t="s">
        <v>1240</v>
      </c>
      <c r="AE197" s="83"/>
      <c r="AF197" s="83"/>
      <c r="AG197" s="83"/>
      <c r="AH197" s="83"/>
      <c r="AI197" s="83" t="s">
        <v>2275</v>
      </c>
      <c r="AJ197" s="83" t="s">
        <v>2620</v>
      </c>
      <c r="AK197" s="89" t="str">
        <f>HYPERLINK("https://yt3.ggpht.com/ytc/AGIKgqPASBRyHM4WmRc3uM_S4pcAx3tU2btX2VDfaw=s88-c-k-c0x00ffffff-no-rj")</f>
        <v>https://yt3.ggpht.com/ytc/AGIKgqPASBRyHM4WmRc3uM_S4pcAx3tU2btX2VDfaw=s88-c-k-c0x00ffffff-no-rj</v>
      </c>
      <c r="AL197" s="83">
        <v>0</v>
      </c>
      <c r="AM197" s="83">
        <v>0</v>
      </c>
      <c r="AN197" s="83">
        <v>0</v>
      </c>
      <c r="AO197" s="83" t="b">
        <v>0</v>
      </c>
      <c r="AP197" s="83">
        <v>0</v>
      </c>
      <c r="AQ197" s="83"/>
      <c r="AR197" s="83"/>
      <c r="AS197" s="83" t="s">
        <v>2744</v>
      </c>
      <c r="AT197" s="89" t="str">
        <f>HYPERLINK("https://www.youtube.com/channel/UCFxkTU2ymnoXc2jGW4HaL_A")</f>
        <v>https://www.youtube.com/channel/UCFxkTU2ymnoXc2jGW4HaL_A</v>
      </c>
      <c r="AU197" s="83" t="str">
        <f>REPLACE(INDEX(GroupVertices[Group],MATCH(Vertices[[#This Row],[Vertex]],GroupVertices[Vertex],0)),1,1,"")</f>
        <v>7</v>
      </c>
      <c r="AV197" s="45"/>
      <c r="AW197" s="46"/>
      <c r="AX197" s="45"/>
      <c r="AY197" s="46"/>
      <c r="AZ197" s="45"/>
      <c r="BA197" s="46"/>
      <c r="BB197" s="45"/>
      <c r="BC197" s="46"/>
      <c r="BD197" s="45"/>
      <c r="BE197" s="110" t="s">
        <v>1874</v>
      </c>
      <c r="BF197" s="110" t="s">
        <v>1874</v>
      </c>
      <c r="BG197" s="110" t="s">
        <v>1874</v>
      </c>
      <c r="BH197" s="110" t="s">
        <v>1874</v>
      </c>
      <c r="BI197" s="2"/>
    </row>
    <row r="198" spans="1:61" ht="15">
      <c r="A198" s="61" t="s">
        <v>403</v>
      </c>
      <c r="B198" s="62" t="s">
        <v>2893</v>
      </c>
      <c r="C198" s="62"/>
      <c r="D198" s="63">
        <v>100</v>
      </c>
      <c r="E198" s="65">
        <v>50</v>
      </c>
      <c r="F198" s="100" t="str">
        <f>HYPERLINK("https://yt3.ggpht.com/ytc/AGIKgqMQxKr7uSpwqmCqYD3J-UQ3aB3eciDD7UG3xg=s88-c-k-c0x00ffffff-no-rj")</f>
        <v>https://yt3.ggpht.com/ytc/AGIKgqMQxKr7uSpwqmCqYD3J-UQ3aB3eciDD7UG3xg=s88-c-k-c0x00ffffff-no-rj</v>
      </c>
      <c r="G198" s="62"/>
      <c r="H198" s="66" t="s">
        <v>1241</v>
      </c>
      <c r="I198" s="67"/>
      <c r="J198" s="67" t="s">
        <v>159</v>
      </c>
      <c r="K198" s="66" t="s">
        <v>1241</v>
      </c>
      <c r="L198" s="70"/>
      <c r="M198" s="71">
        <v>8098.92333984375</v>
      </c>
      <c r="N198" s="71">
        <v>7870</v>
      </c>
      <c r="O198" s="72"/>
      <c r="P198" s="73"/>
      <c r="Q198" s="73"/>
      <c r="R198" s="94"/>
      <c r="S198" s="45">
        <v>0</v>
      </c>
      <c r="T198" s="45">
        <v>1</v>
      </c>
      <c r="U198" s="46">
        <v>0</v>
      </c>
      <c r="V198" s="46">
        <v>0.077723</v>
      </c>
      <c r="W198" s="46">
        <v>0.000861</v>
      </c>
      <c r="X198" s="46">
        <v>0.002063</v>
      </c>
      <c r="Y198" s="46">
        <v>0</v>
      </c>
      <c r="Z198" s="46">
        <v>0</v>
      </c>
      <c r="AA198" s="68">
        <v>198</v>
      </c>
      <c r="AB198" s="68"/>
      <c r="AC198" s="69"/>
      <c r="AD198" s="83" t="s">
        <v>1241</v>
      </c>
      <c r="AE198" s="83"/>
      <c r="AF198" s="83"/>
      <c r="AG198" s="83"/>
      <c r="AH198" s="83"/>
      <c r="AI198" s="83" t="s">
        <v>2276</v>
      </c>
      <c r="AJ198" s="92">
        <v>39934.55601851852</v>
      </c>
      <c r="AK198" s="89" t="str">
        <f>HYPERLINK("https://yt3.ggpht.com/ytc/AGIKgqMQxKr7uSpwqmCqYD3J-UQ3aB3eciDD7UG3xg=s88-c-k-c0x00ffffff-no-rj")</f>
        <v>https://yt3.ggpht.com/ytc/AGIKgqMQxKr7uSpwqmCqYD3J-UQ3aB3eciDD7UG3xg=s88-c-k-c0x00ffffff-no-rj</v>
      </c>
      <c r="AL198" s="83">
        <v>0</v>
      </c>
      <c r="AM198" s="83">
        <v>0</v>
      </c>
      <c r="AN198" s="83">
        <v>1</v>
      </c>
      <c r="AO198" s="83" t="b">
        <v>0</v>
      </c>
      <c r="AP198" s="83">
        <v>0</v>
      </c>
      <c r="AQ198" s="83"/>
      <c r="AR198" s="83"/>
      <c r="AS198" s="83" t="s">
        <v>2744</v>
      </c>
      <c r="AT198" s="89" t="str">
        <f>HYPERLINK("https://www.youtube.com/channel/UChCbpusxdtcFBC19nnBvYWw")</f>
        <v>https://www.youtube.com/channel/UChCbpusxdtcFBC19nnBvYWw</v>
      </c>
      <c r="AU198" s="83" t="str">
        <f>REPLACE(INDEX(GroupVertices[Group],MATCH(Vertices[[#This Row],[Vertex]],GroupVertices[Vertex],0)),1,1,"")</f>
        <v>7</v>
      </c>
      <c r="AV198" s="45"/>
      <c r="AW198" s="46"/>
      <c r="AX198" s="45"/>
      <c r="AY198" s="46"/>
      <c r="AZ198" s="45"/>
      <c r="BA198" s="46"/>
      <c r="BB198" s="45"/>
      <c r="BC198" s="46"/>
      <c r="BD198" s="45"/>
      <c r="BE198" s="110" t="s">
        <v>1874</v>
      </c>
      <c r="BF198" s="110" t="s">
        <v>1874</v>
      </c>
      <c r="BG198" s="110" t="s">
        <v>1874</v>
      </c>
      <c r="BH198" s="110" t="s">
        <v>1874</v>
      </c>
      <c r="BI198" s="2"/>
    </row>
    <row r="199" spans="1:61" ht="15">
      <c r="A199" s="61" t="s">
        <v>404</v>
      </c>
      <c r="B199" s="62" t="s">
        <v>2893</v>
      </c>
      <c r="C199" s="62"/>
      <c r="D199" s="63">
        <v>100</v>
      </c>
      <c r="E199" s="65">
        <v>50</v>
      </c>
      <c r="F199" s="100" t="str">
        <f>HYPERLINK("https://yt3.ggpht.com/ytc/AGIKgqNr0_CZrB-2QV5m0_m4qHdZYSGedtnIDV5uPnRU=s88-c-k-c0x00ffffff-no-rj")</f>
        <v>https://yt3.ggpht.com/ytc/AGIKgqNr0_CZrB-2QV5m0_m4qHdZYSGedtnIDV5uPnRU=s88-c-k-c0x00ffffff-no-rj</v>
      </c>
      <c r="G199" s="62"/>
      <c r="H199" s="66" t="s">
        <v>1242</v>
      </c>
      <c r="I199" s="67"/>
      <c r="J199" s="67" t="s">
        <v>159</v>
      </c>
      <c r="K199" s="66" t="s">
        <v>1242</v>
      </c>
      <c r="L199" s="70"/>
      <c r="M199" s="71">
        <v>7798.42236328125</v>
      </c>
      <c r="N199" s="71">
        <v>7870</v>
      </c>
      <c r="O199" s="72"/>
      <c r="P199" s="73"/>
      <c r="Q199" s="73"/>
      <c r="R199" s="94"/>
      <c r="S199" s="45">
        <v>0</v>
      </c>
      <c r="T199" s="45">
        <v>1</v>
      </c>
      <c r="U199" s="46">
        <v>0</v>
      </c>
      <c r="V199" s="46">
        <v>0.077723</v>
      </c>
      <c r="W199" s="46">
        <v>0.000861</v>
      </c>
      <c r="X199" s="46">
        <v>0.002063</v>
      </c>
      <c r="Y199" s="46">
        <v>0</v>
      </c>
      <c r="Z199" s="46">
        <v>0</v>
      </c>
      <c r="AA199" s="68">
        <v>199</v>
      </c>
      <c r="AB199" s="68"/>
      <c r="AC199" s="69"/>
      <c r="AD199" s="83" t="s">
        <v>1242</v>
      </c>
      <c r="AE199" s="83" t="s">
        <v>1994</v>
      </c>
      <c r="AF199" s="83"/>
      <c r="AG199" s="83"/>
      <c r="AH199" s="83"/>
      <c r="AI199" s="83" t="s">
        <v>2277</v>
      </c>
      <c r="AJ199" s="83" t="s">
        <v>2621</v>
      </c>
      <c r="AK199" s="89" t="str">
        <f>HYPERLINK("https://yt3.ggpht.com/ytc/AGIKgqNr0_CZrB-2QV5m0_m4qHdZYSGedtnIDV5uPnRU=s88-c-k-c0x00ffffff-no-rj")</f>
        <v>https://yt3.ggpht.com/ytc/AGIKgqNr0_CZrB-2QV5m0_m4qHdZYSGedtnIDV5uPnRU=s88-c-k-c0x00ffffff-no-rj</v>
      </c>
      <c r="AL199" s="83">
        <v>32594491</v>
      </c>
      <c r="AM199" s="83">
        <v>0</v>
      </c>
      <c r="AN199" s="83">
        <v>56400</v>
      </c>
      <c r="AO199" s="83" t="b">
        <v>0</v>
      </c>
      <c r="AP199" s="83">
        <v>304</v>
      </c>
      <c r="AQ199" s="83"/>
      <c r="AR199" s="83"/>
      <c r="AS199" s="83" t="s">
        <v>2744</v>
      </c>
      <c r="AT199" s="89" t="str">
        <f>HYPERLINK("https://www.youtube.com/channel/UC6ADTGO5lln1FoeyvSO1YRg")</f>
        <v>https://www.youtube.com/channel/UC6ADTGO5lln1FoeyvSO1YRg</v>
      </c>
      <c r="AU199" s="83" t="str">
        <f>REPLACE(INDEX(GroupVertices[Group],MATCH(Vertices[[#This Row],[Vertex]],GroupVertices[Vertex],0)),1,1,"")</f>
        <v>7</v>
      </c>
      <c r="AV199" s="45"/>
      <c r="AW199" s="46"/>
      <c r="AX199" s="45"/>
      <c r="AY199" s="46"/>
      <c r="AZ199" s="45"/>
      <c r="BA199" s="46"/>
      <c r="BB199" s="45"/>
      <c r="BC199" s="46"/>
      <c r="BD199" s="45"/>
      <c r="BE199" s="110" t="s">
        <v>1874</v>
      </c>
      <c r="BF199" s="110" t="s">
        <v>1874</v>
      </c>
      <c r="BG199" s="110" t="s">
        <v>1874</v>
      </c>
      <c r="BH199" s="110" t="s">
        <v>1874</v>
      </c>
      <c r="BI199" s="2"/>
    </row>
    <row r="200" spans="1:61" ht="15">
      <c r="A200" s="61" t="s">
        <v>405</v>
      </c>
      <c r="B200" s="62" t="s">
        <v>2893</v>
      </c>
      <c r="C200" s="62"/>
      <c r="D200" s="63">
        <v>100</v>
      </c>
      <c r="E200" s="65">
        <v>50</v>
      </c>
      <c r="F200" s="100" t="str">
        <f>HYPERLINK("https://yt3.ggpht.com/ytc/AGIKgqMcHtVYyN8l9Ficz-DeMKQoWfVin7-y74673If7=s88-c-k-c0x00ffffff-no-rj")</f>
        <v>https://yt3.ggpht.com/ytc/AGIKgqMcHtVYyN8l9Ficz-DeMKQoWfVin7-y74673If7=s88-c-k-c0x00ffffff-no-rj</v>
      </c>
      <c r="G200" s="62"/>
      <c r="H200" s="66" t="s">
        <v>1243</v>
      </c>
      <c r="I200" s="67"/>
      <c r="J200" s="67" t="s">
        <v>159</v>
      </c>
      <c r="K200" s="66" t="s">
        <v>1243</v>
      </c>
      <c r="L200" s="70"/>
      <c r="M200" s="71">
        <v>7497.9208984375</v>
      </c>
      <c r="N200" s="71">
        <v>7870</v>
      </c>
      <c r="O200" s="72"/>
      <c r="P200" s="73"/>
      <c r="Q200" s="73"/>
      <c r="R200" s="94"/>
      <c r="S200" s="45">
        <v>0</v>
      </c>
      <c r="T200" s="45">
        <v>1</v>
      </c>
      <c r="U200" s="46">
        <v>0</v>
      </c>
      <c r="V200" s="46">
        <v>0.077723</v>
      </c>
      <c r="W200" s="46">
        <v>0.000861</v>
      </c>
      <c r="X200" s="46">
        <v>0.002063</v>
      </c>
      <c r="Y200" s="46">
        <v>0</v>
      </c>
      <c r="Z200" s="46">
        <v>0</v>
      </c>
      <c r="AA200" s="68">
        <v>200</v>
      </c>
      <c r="AB200" s="68"/>
      <c r="AC200" s="69"/>
      <c r="AD200" s="83" t="s">
        <v>1243</v>
      </c>
      <c r="AE200" s="83"/>
      <c r="AF200" s="83"/>
      <c r="AG200" s="83"/>
      <c r="AH200" s="83"/>
      <c r="AI200" s="83" t="s">
        <v>2278</v>
      </c>
      <c r="AJ200" s="83" t="s">
        <v>2622</v>
      </c>
      <c r="AK200" s="89" t="str">
        <f>HYPERLINK("https://yt3.ggpht.com/ytc/AGIKgqMcHtVYyN8l9Ficz-DeMKQoWfVin7-y74673If7=s88-c-k-c0x00ffffff-no-rj")</f>
        <v>https://yt3.ggpht.com/ytc/AGIKgqMcHtVYyN8l9Ficz-DeMKQoWfVin7-y74673If7=s88-c-k-c0x00ffffff-no-rj</v>
      </c>
      <c r="AL200" s="83">
        <v>0</v>
      </c>
      <c r="AM200" s="83">
        <v>0</v>
      </c>
      <c r="AN200" s="83">
        <v>10</v>
      </c>
      <c r="AO200" s="83" t="b">
        <v>0</v>
      </c>
      <c r="AP200" s="83">
        <v>0</v>
      </c>
      <c r="AQ200" s="83"/>
      <c r="AR200" s="83"/>
      <c r="AS200" s="83" t="s">
        <v>2744</v>
      </c>
      <c r="AT200" s="89" t="str">
        <f>HYPERLINK("https://www.youtube.com/channel/UCk3TJwfRUWpcD6nsnss91UA")</f>
        <v>https://www.youtube.com/channel/UCk3TJwfRUWpcD6nsnss91UA</v>
      </c>
      <c r="AU200" s="83" t="str">
        <f>REPLACE(INDEX(GroupVertices[Group],MATCH(Vertices[[#This Row],[Vertex]],GroupVertices[Vertex],0)),1,1,"")</f>
        <v>7</v>
      </c>
      <c r="AV200" s="45"/>
      <c r="AW200" s="46"/>
      <c r="AX200" s="45"/>
      <c r="AY200" s="46"/>
      <c r="AZ200" s="45"/>
      <c r="BA200" s="46"/>
      <c r="BB200" s="45"/>
      <c r="BC200" s="46"/>
      <c r="BD200" s="45"/>
      <c r="BE200" s="110" t="s">
        <v>1874</v>
      </c>
      <c r="BF200" s="110" t="s">
        <v>1874</v>
      </c>
      <c r="BG200" s="110" t="s">
        <v>1874</v>
      </c>
      <c r="BH200" s="110" t="s">
        <v>1874</v>
      </c>
      <c r="BI200" s="2"/>
    </row>
    <row r="201" spans="1:61" ht="15">
      <c r="A201" s="61" t="s">
        <v>406</v>
      </c>
      <c r="B201" s="62" t="s">
        <v>2893</v>
      </c>
      <c r="C201" s="62"/>
      <c r="D201" s="63">
        <v>100</v>
      </c>
      <c r="E201" s="65">
        <v>50</v>
      </c>
      <c r="F201" s="100" t="str">
        <f>HYPERLINK("https://yt3.ggpht.com/ytc/AGIKgqNHx8ExqWjU8PL3W0EZduW4hcXxBM-m5WBkeg=s88-c-k-c0x00ffffff-no-rj")</f>
        <v>https://yt3.ggpht.com/ytc/AGIKgqNHx8ExqWjU8PL3W0EZduW4hcXxBM-m5WBkeg=s88-c-k-c0x00ffffff-no-rj</v>
      </c>
      <c r="G201" s="62"/>
      <c r="H201" s="66" t="s">
        <v>1244</v>
      </c>
      <c r="I201" s="67"/>
      <c r="J201" s="67" t="s">
        <v>159</v>
      </c>
      <c r="K201" s="66" t="s">
        <v>1244</v>
      </c>
      <c r="L201" s="70"/>
      <c r="M201" s="71">
        <v>7197.41845703125</v>
      </c>
      <c r="N201" s="71">
        <v>7870</v>
      </c>
      <c r="O201" s="72"/>
      <c r="P201" s="73"/>
      <c r="Q201" s="73"/>
      <c r="R201" s="94"/>
      <c r="S201" s="45">
        <v>0</v>
      </c>
      <c r="T201" s="45">
        <v>1</v>
      </c>
      <c r="U201" s="46">
        <v>0</v>
      </c>
      <c r="V201" s="46">
        <v>0.077723</v>
      </c>
      <c r="W201" s="46">
        <v>0.000861</v>
      </c>
      <c r="X201" s="46">
        <v>0.002063</v>
      </c>
      <c r="Y201" s="46">
        <v>0</v>
      </c>
      <c r="Z201" s="46">
        <v>0</v>
      </c>
      <c r="AA201" s="68">
        <v>201</v>
      </c>
      <c r="AB201" s="68"/>
      <c r="AC201" s="69"/>
      <c r="AD201" s="83" t="s">
        <v>1244</v>
      </c>
      <c r="AE201" s="83"/>
      <c r="AF201" s="83"/>
      <c r="AG201" s="83"/>
      <c r="AH201" s="83"/>
      <c r="AI201" s="83" t="s">
        <v>2279</v>
      </c>
      <c r="AJ201" s="92">
        <v>39700.523993055554</v>
      </c>
      <c r="AK201" s="89" t="str">
        <f>HYPERLINK("https://yt3.ggpht.com/ytc/AGIKgqNHx8ExqWjU8PL3W0EZduW4hcXxBM-m5WBkeg=s88-c-k-c0x00ffffff-no-rj")</f>
        <v>https://yt3.ggpht.com/ytc/AGIKgqNHx8ExqWjU8PL3W0EZduW4hcXxBM-m5WBkeg=s88-c-k-c0x00ffffff-no-rj</v>
      </c>
      <c r="AL201" s="83">
        <v>35044</v>
      </c>
      <c r="AM201" s="83">
        <v>0</v>
      </c>
      <c r="AN201" s="83">
        <v>13</v>
      </c>
      <c r="AO201" s="83" t="b">
        <v>0</v>
      </c>
      <c r="AP201" s="83">
        <v>20</v>
      </c>
      <c r="AQ201" s="83"/>
      <c r="AR201" s="83"/>
      <c r="AS201" s="83" t="s">
        <v>2744</v>
      </c>
      <c r="AT201" s="89" t="str">
        <f>HYPERLINK("https://www.youtube.com/channel/UC3-VcpO3STysmhD1ViXpbiQ")</f>
        <v>https://www.youtube.com/channel/UC3-VcpO3STysmhD1ViXpbiQ</v>
      </c>
      <c r="AU201" s="83" t="str">
        <f>REPLACE(INDEX(GroupVertices[Group],MATCH(Vertices[[#This Row],[Vertex]],GroupVertices[Vertex],0)),1,1,"")</f>
        <v>7</v>
      </c>
      <c r="AV201" s="45"/>
      <c r="AW201" s="46"/>
      <c r="AX201" s="45"/>
      <c r="AY201" s="46"/>
      <c r="AZ201" s="45"/>
      <c r="BA201" s="46"/>
      <c r="BB201" s="45"/>
      <c r="BC201" s="46"/>
      <c r="BD201" s="45"/>
      <c r="BE201" s="110" t="s">
        <v>1874</v>
      </c>
      <c r="BF201" s="110" t="s">
        <v>1874</v>
      </c>
      <c r="BG201" s="110" t="s">
        <v>1874</v>
      </c>
      <c r="BH201" s="110" t="s">
        <v>1874</v>
      </c>
      <c r="BI201" s="2"/>
    </row>
    <row r="202" spans="1:61" ht="15">
      <c r="A202" s="61" t="s">
        <v>407</v>
      </c>
      <c r="B202" s="62" t="s">
        <v>2893</v>
      </c>
      <c r="C202" s="62"/>
      <c r="D202" s="63">
        <v>100</v>
      </c>
      <c r="E202" s="65">
        <v>50</v>
      </c>
      <c r="F202" s="100" t="str">
        <f>HYPERLINK("https://yt3.ggpht.com/ytc/AGIKgqOllBPGisxgCnptxocSJKIed316p7LOGnuiLw=s88-c-k-c0x00ffffff-no-rj")</f>
        <v>https://yt3.ggpht.com/ytc/AGIKgqOllBPGisxgCnptxocSJKIed316p7LOGnuiLw=s88-c-k-c0x00ffffff-no-rj</v>
      </c>
      <c r="G202" s="62"/>
      <c r="H202" s="66" t="s">
        <v>1245</v>
      </c>
      <c r="I202" s="67"/>
      <c r="J202" s="67" t="s">
        <v>159</v>
      </c>
      <c r="K202" s="66" t="s">
        <v>1245</v>
      </c>
      <c r="L202" s="70"/>
      <c r="M202" s="71">
        <v>8399.42578125</v>
      </c>
      <c r="N202" s="71">
        <v>8398.0361328125</v>
      </c>
      <c r="O202" s="72"/>
      <c r="P202" s="73"/>
      <c r="Q202" s="73"/>
      <c r="R202" s="94"/>
      <c r="S202" s="45">
        <v>0</v>
      </c>
      <c r="T202" s="45">
        <v>1</v>
      </c>
      <c r="U202" s="46">
        <v>0</v>
      </c>
      <c r="V202" s="46">
        <v>0.077723</v>
      </c>
      <c r="W202" s="46">
        <v>0.000861</v>
      </c>
      <c r="X202" s="46">
        <v>0.002063</v>
      </c>
      <c r="Y202" s="46">
        <v>0</v>
      </c>
      <c r="Z202" s="46">
        <v>0</v>
      </c>
      <c r="AA202" s="68">
        <v>202</v>
      </c>
      <c r="AB202" s="68"/>
      <c r="AC202" s="69"/>
      <c r="AD202" s="83" t="s">
        <v>1245</v>
      </c>
      <c r="AE202" s="83" t="s">
        <v>1995</v>
      </c>
      <c r="AF202" s="83"/>
      <c r="AG202" s="83"/>
      <c r="AH202" s="83"/>
      <c r="AI202" s="83" t="s">
        <v>2280</v>
      </c>
      <c r="AJ202" s="92">
        <v>39490.19797453703</v>
      </c>
      <c r="AK202" s="89" t="str">
        <f>HYPERLINK("https://yt3.ggpht.com/ytc/AGIKgqOllBPGisxgCnptxocSJKIed316p7LOGnuiLw=s88-c-k-c0x00ffffff-no-rj")</f>
        <v>https://yt3.ggpht.com/ytc/AGIKgqOllBPGisxgCnptxocSJKIed316p7LOGnuiLw=s88-c-k-c0x00ffffff-no-rj</v>
      </c>
      <c r="AL202" s="83">
        <v>1111439</v>
      </c>
      <c r="AM202" s="83">
        <v>0</v>
      </c>
      <c r="AN202" s="83">
        <v>617</v>
      </c>
      <c r="AO202" s="83" t="b">
        <v>0</v>
      </c>
      <c r="AP202" s="83">
        <v>50</v>
      </c>
      <c r="AQ202" s="83"/>
      <c r="AR202" s="83"/>
      <c r="AS202" s="83" t="s">
        <v>2744</v>
      </c>
      <c r="AT202" s="89" t="str">
        <f>HYPERLINK("https://www.youtube.com/channel/UCfUo6rfr6H6vH7ERTyAgb8w")</f>
        <v>https://www.youtube.com/channel/UCfUo6rfr6H6vH7ERTyAgb8w</v>
      </c>
      <c r="AU202" s="83" t="str">
        <f>REPLACE(INDEX(GroupVertices[Group],MATCH(Vertices[[#This Row],[Vertex]],GroupVertices[Vertex],0)),1,1,"")</f>
        <v>7</v>
      </c>
      <c r="AV202" s="45"/>
      <c r="AW202" s="46"/>
      <c r="AX202" s="45"/>
      <c r="AY202" s="46"/>
      <c r="AZ202" s="45"/>
      <c r="BA202" s="46"/>
      <c r="BB202" s="45"/>
      <c r="BC202" s="46"/>
      <c r="BD202" s="45"/>
      <c r="BE202" s="110" t="s">
        <v>1874</v>
      </c>
      <c r="BF202" s="110" t="s">
        <v>1874</v>
      </c>
      <c r="BG202" s="110" t="s">
        <v>1874</v>
      </c>
      <c r="BH202" s="110" t="s">
        <v>1874</v>
      </c>
      <c r="BI202" s="2"/>
    </row>
    <row r="203" spans="1:61" ht="15">
      <c r="A203" s="61" t="s">
        <v>408</v>
      </c>
      <c r="B203" s="62" t="s">
        <v>2893</v>
      </c>
      <c r="C203" s="62"/>
      <c r="D203" s="63">
        <v>100</v>
      </c>
      <c r="E203" s="65">
        <v>50</v>
      </c>
      <c r="F203" s="100" t="str">
        <f>HYPERLINK("https://yt3.ggpht.com/ytc/AGIKgqP2Ezgv6Xxqgdl-6wOq_gDsYaEJetDQUP-QHg=s88-c-k-c0x00ffffff-no-rj")</f>
        <v>https://yt3.ggpht.com/ytc/AGIKgqP2Ezgv6Xxqgdl-6wOq_gDsYaEJetDQUP-QHg=s88-c-k-c0x00ffffff-no-rj</v>
      </c>
      <c r="G203" s="62"/>
      <c r="H203" s="66" t="s">
        <v>1246</v>
      </c>
      <c r="I203" s="67"/>
      <c r="J203" s="67" t="s">
        <v>159</v>
      </c>
      <c r="K203" s="66" t="s">
        <v>1246</v>
      </c>
      <c r="L203" s="70"/>
      <c r="M203" s="71">
        <v>8098.92333984375</v>
      </c>
      <c r="N203" s="71">
        <v>8398.0361328125</v>
      </c>
      <c r="O203" s="72"/>
      <c r="P203" s="73"/>
      <c r="Q203" s="73"/>
      <c r="R203" s="94"/>
      <c r="S203" s="45">
        <v>0</v>
      </c>
      <c r="T203" s="45">
        <v>1</v>
      </c>
      <c r="U203" s="46">
        <v>0</v>
      </c>
      <c r="V203" s="46">
        <v>0.077723</v>
      </c>
      <c r="W203" s="46">
        <v>0.000861</v>
      </c>
      <c r="X203" s="46">
        <v>0.002063</v>
      </c>
      <c r="Y203" s="46">
        <v>0</v>
      </c>
      <c r="Z203" s="46">
        <v>0</v>
      </c>
      <c r="AA203" s="68">
        <v>203</v>
      </c>
      <c r="AB203" s="68"/>
      <c r="AC203" s="69"/>
      <c r="AD203" s="83" t="s">
        <v>1246</v>
      </c>
      <c r="AE203" s="83"/>
      <c r="AF203" s="83"/>
      <c r="AG203" s="83"/>
      <c r="AH203" s="83"/>
      <c r="AI203" s="83" t="s">
        <v>2281</v>
      </c>
      <c r="AJ203" s="92">
        <v>38728.83789351852</v>
      </c>
      <c r="AK203" s="89" t="str">
        <f>HYPERLINK("https://yt3.ggpht.com/ytc/AGIKgqP2Ezgv6Xxqgdl-6wOq_gDsYaEJetDQUP-QHg=s88-c-k-c0x00ffffff-no-rj")</f>
        <v>https://yt3.ggpht.com/ytc/AGIKgqP2Ezgv6Xxqgdl-6wOq_gDsYaEJetDQUP-QHg=s88-c-k-c0x00ffffff-no-rj</v>
      </c>
      <c r="AL203" s="83">
        <v>0</v>
      </c>
      <c r="AM203" s="83">
        <v>0</v>
      </c>
      <c r="AN203" s="83">
        <v>2</v>
      </c>
      <c r="AO203" s="83" t="b">
        <v>0</v>
      </c>
      <c r="AP203" s="83">
        <v>0</v>
      </c>
      <c r="AQ203" s="83"/>
      <c r="AR203" s="83"/>
      <c r="AS203" s="83" t="s">
        <v>2744</v>
      </c>
      <c r="AT203" s="89" t="str">
        <f>HYPERLINK("https://www.youtube.com/channel/UC3pADvUbl5ANFy1cZmYrIMQ")</f>
        <v>https://www.youtube.com/channel/UC3pADvUbl5ANFy1cZmYrIMQ</v>
      </c>
      <c r="AU203" s="83" t="str">
        <f>REPLACE(INDEX(GroupVertices[Group],MATCH(Vertices[[#This Row],[Vertex]],GroupVertices[Vertex],0)),1,1,"")</f>
        <v>7</v>
      </c>
      <c r="AV203" s="45"/>
      <c r="AW203" s="46"/>
      <c r="AX203" s="45"/>
      <c r="AY203" s="46"/>
      <c r="AZ203" s="45"/>
      <c r="BA203" s="46"/>
      <c r="BB203" s="45"/>
      <c r="BC203" s="46"/>
      <c r="BD203" s="45"/>
      <c r="BE203" s="110" t="s">
        <v>1874</v>
      </c>
      <c r="BF203" s="110" t="s">
        <v>1874</v>
      </c>
      <c r="BG203" s="110" t="s">
        <v>1874</v>
      </c>
      <c r="BH203" s="110" t="s">
        <v>1874</v>
      </c>
      <c r="BI203" s="2"/>
    </row>
    <row r="204" spans="1:61" ht="15">
      <c r="A204" s="61" t="s">
        <v>409</v>
      </c>
      <c r="B204" s="62" t="s">
        <v>2893</v>
      </c>
      <c r="C204" s="62"/>
      <c r="D204" s="63">
        <v>100</v>
      </c>
      <c r="E204" s="65">
        <v>50</v>
      </c>
      <c r="F204" s="100" t="str">
        <f>HYPERLINK("https://yt3.ggpht.com/ytc/AGIKgqOdpFTTrXx54K0PkNKS1xhuYmb8HVJcwtuZtEZi=s88-c-k-c0x00ffffff-no-rj")</f>
        <v>https://yt3.ggpht.com/ytc/AGIKgqOdpFTTrXx54K0PkNKS1xhuYmb8HVJcwtuZtEZi=s88-c-k-c0x00ffffff-no-rj</v>
      </c>
      <c r="G204" s="62"/>
      <c r="H204" s="66" t="s">
        <v>1247</v>
      </c>
      <c r="I204" s="67"/>
      <c r="J204" s="67" t="s">
        <v>159</v>
      </c>
      <c r="K204" s="66" t="s">
        <v>1247</v>
      </c>
      <c r="L204" s="70"/>
      <c r="M204" s="71">
        <v>7798.42236328125</v>
      </c>
      <c r="N204" s="71">
        <v>8398.0361328125</v>
      </c>
      <c r="O204" s="72"/>
      <c r="P204" s="73"/>
      <c r="Q204" s="73"/>
      <c r="R204" s="94"/>
      <c r="S204" s="45">
        <v>0</v>
      </c>
      <c r="T204" s="45">
        <v>1</v>
      </c>
      <c r="U204" s="46">
        <v>0</v>
      </c>
      <c r="V204" s="46">
        <v>0.077723</v>
      </c>
      <c r="W204" s="46">
        <v>0.000861</v>
      </c>
      <c r="X204" s="46">
        <v>0.002063</v>
      </c>
      <c r="Y204" s="46">
        <v>0</v>
      </c>
      <c r="Z204" s="46">
        <v>0</v>
      </c>
      <c r="AA204" s="68">
        <v>204</v>
      </c>
      <c r="AB204" s="68"/>
      <c r="AC204" s="69"/>
      <c r="AD204" s="83" t="s">
        <v>1247</v>
      </c>
      <c r="AE204" s="83" t="s">
        <v>1996</v>
      </c>
      <c r="AF204" s="83"/>
      <c r="AG204" s="83"/>
      <c r="AH204" s="83"/>
      <c r="AI204" s="83" t="s">
        <v>2282</v>
      </c>
      <c r="AJ204" s="83" t="s">
        <v>2623</v>
      </c>
      <c r="AK204" s="89" t="str">
        <f>HYPERLINK("https://yt3.ggpht.com/ytc/AGIKgqOdpFTTrXx54K0PkNKS1xhuYmb8HVJcwtuZtEZi=s88-c-k-c0x00ffffff-no-rj")</f>
        <v>https://yt3.ggpht.com/ytc/AGIKgqOdpFTTrXx54K0PkNKS1xhuYmb8HVJcwtuZtEZi=s88-c-k-c0x00ffffff-no-rj</v>
      </c>
      <c r="AL204" s="83">
        <v>2347</v>
      </c>
      <c r="AM204" s="83">
        <v>0</v>
      </c>
      <c r="AN204" s="83">
        <v>42</v>
      </c>
      <c r="AO204" s="83" t="b">
        <v>0</v>
      </c>
      <c r="AP204" s="83">
        <v>1</v>
      </c>
      <c r="AQ204" s="83"/>
      <c r="AR204" s="83"/>
      <c r="AS204" s="83" t="s">
        <v>2744</v>
      </c>
      <c r="AT204" s="89" t="str">
        <f>HYPERLINK("https://www.youtube.com/channel/UC6y-fUkvvq-553UENJ0ShMw")</f>
        <v>https://www.youtube.com/channel/UC6y-fUkvvq-553UENJ0ShMw</v>
      </c>
      <c r="AU204" s="83" t="str">
        <f>REPLACE(INDEX(GroupVertices[Group],MATCH(Vertices[[#This Row],[Vertex]],GroupVertices[Vertex],0)),1,1,"")</f>
        <v>7</v>
      </c>
      <c r="AV204" s="45"/>
      <c r="AW204" s="46"/>
      <c r="AX204" s="45"/>
      <c r="AY204" s="46"/>
      <c r="AZ204" s="45"/>
      <c r="BA204" s="46"/>
      <c r="BB204" s="45"/>
      <c r="BC204" s="46"/>
      <c r="BD204" s="45"/>
      <c r="BE204" s="110" t="s">
        <v>1874</v>
      </c>
      <c r="BF204" s="110" t="s">
        <v>1874</v>
      </c>
      <c r="BG204" s="110" t="s">
        <v>1874</v>
      </c>
      <c r="BH204" s="110" t="s">
        <v>1874</v>
      </c>
      <c r="BI204" s="2"/>
    </row>
    <row r="205" spans="1:61" ht="15">
      <c r="A205" s="61" t="s">
        <v>410</v>
      </c>
      <c r="B205" s="62" t="s">
        <v>2893</v>
      </c>
      <c r="C205" s="62"/>
      <c r="D205" s="63">
        <v>100</v>
      </c>
      <c r="E205" s="65">
        <v>50</v>
      </c>
      <c r="F205" s="100" t="str">
        <f>HYPERLINK("https://yt3.ggpht.com/ytc/AGIKgqOGs9QETmCVXp5_x-7ALHm7741n-l39ncy1B3Ck=s88-c-k-c0x00ffffff-no-rj")</f>
        <v>https://yt3.ggpht.com/ytc/AGIKgqOGs9QETmCVXp5_x-7ALHm7741n-l39ncy1B3Ck=s88-c-k-c0x00ffffff-no-rj</v>
      </c>
      <c r="G205" s="62"/>
      <c r="H205" s="66" t="s">
        <v>1248</v>
      </c>
      <c r="I205" s="67"/>
      <c r="J205" s="67" t="s">
        <v>159</v>
      </c>
      <c r="K205" s="66" t="s">
        <v>1248</v>
      </c>
      <c r="L205" s="70"/>
      <c r="M205" s="71">
        <v>7497.9208984375</v>
      </c>
      <c r="N205" s="71">
        <v>8398.0361328125</v>
      </c>
      <c r="O205" s="72"/>
      <c r="P205" s="73"/>
      <c r="Q205" s="73"/>
      <c r="R205" s="94"/>
      <c r="S205" s="45">
        <v>0</v>
      </c>
      <c r="T205" s="45">
        <v>1</v>
      </c>
      <c r="U205" s="46">
        <v>0</v>
      </c>
      <c r="V205" s="46">
        <v>0.077723</v>
      </c>
      <c r="W205" s="46">
        <v>0.000861</v>
      </c>
      <c r="X205" s="46">
        <v>0.002063</v>
      </c>
      <c r="Y205" s="46">
        <v>0</v>
      </c>
      <c r="Z205" s="46">
        <v>0</v>
      </c>
      <c r="AA205" s="68">
        <v>205</v>
      </c>
      <c r="AB205" s="68"/>
      <c r="AC205" s="69"/>
      <c r="AD205" s="83" t="s">
        <v>1248</v>
      </c>
      <c r="AE205" s="83"/>
      <c r="AF205" s="83"/>
      <c r="AG205" s="83"/>
      <c r="AH205" s="83"/>
      <c r="AI205" s="83" t="s">
        <v>2283</v>
      </c>
      <c r="AJ205" s="92">
        <v>40859.14586805556</v>
      </c>
      <c r="AK205" s="89" t="str">
        <f>HYPERLINK("https://yt3.ggpht.com/ytc/AGIKgqOGs9QETmCVXp5_x-7ALHm7741n-l39ncy1B3Ck=s88-c-k-c0x00ffffff-no-rj")</f>
        <v>https://yt3.ggpht.com/ytc/AGIKgqOGs9QETmCVXp5_x-7ALHm7741n-l39ncy1B3Ck=s88-c-k-c0x00ffffff-no-rj</v>
      </c>
      <c r="AL205" s="83">
        <v>0</v>
      </c>
      <c r="AM205" s="83">
        <v>0</v>
      </c>
      <c r="AN205" s="83">
        <v>1</v>
      </c>
      <c r="AO205" s="83" t="b">
        <v>0</v>
      </c>
      <c r="AP205" s="83">
        <v>0</v>
      </c>
      <c r="AQ205" s="83"/>
      <c r="AR205" s="83"/>
      <c r="AS205" s="83" t="s">
        <v>2744</v>
      </c>
      <c r="AT205" s="89" t="str">
        <f>HYPERLINK("https://www.youtube.com/channel/UCOURAi9rQpmQOnDBx2q9Z5A")</f>
        <v>https://www.youtube.com/channel/UCOURAi9rQpmQOnDBx2q9Z5A</v>
      </c>
      <c r="AU205" s="83" t="str">
        <f>REPLACE(INDEX(GroupVertices[Group],MATCH(Vertices[[#This Row],[Vertex]],GroupVertices[Vertex],0)),1,1,"")</f>
        <v>7</v>
      </c>
      <c r="AV205" s="45"/>
      <c r="AW205" s="46"/>
      <c r="AX205" s="45"/>
      <c r="AY205" s="46"/>
      <c r="AZ205" s="45"/>
      <c r="BA205" s="46"/>
      <c r="BB205" s="45"/>
      <c r="BC205" s="46"/>
      <c r="BD205" s="45"/>
      <c r="BE205" s="110" t="s">
        <v>1874</v>
      </c>
      <c r="BF205" s="110" t="s">
        <v>1874</v>
      </c>
      <c r="BG205" s="110" t="s">
        <v>1874</v>
      </c>
      <c r="BH205" s="110" t="s">
        <v>1874</v>
      </c>
      <c r="BI205" s="2"/>
    </row>
    <row r="206" spans="1:61" ht="15">
      <c r="A206" s="61" t="s">
        <v>411</v>
      </c>
      <c r="B206" s="62" t="s">
        <v>2893</v>
      </c>
      <c r="C206" s="62"/>
      <c r="D206" s="63">
        <v>100</v>
      </c>
      <c r="E206" s="65">
        <v>50</v>
      </c>
      <c r="F206" s="100" t="str">
        <f>HYPERLINK("https://yt3.ggpht.com/OxdRfgqY5YDdk-jYpR64QJvfii0iJmWNj2fj2Obc7dZD5NZ9jGSPR_4e5kmfMelry0B04zAb=s88-c-k-c0x00ffffff-no-rj")</f>
        <v>https://yt3.ggpht.com/OxdRfgqY5YDdk-jYpR64QJvfii0iJmWNj2fj2Obc7dZD5NZ9jGSPR_4e5kmfMelry0B04zAb=s88-c-k-c0x00ffffff-no-rj</v>
      </c>
      <c r="G206" s="62"/>
      <c r="H206" s="66" t="s">
        <v>1249</v>
      </c>
      <c r="I206" s="67"/>
      <c r="J206" s="67" t="s">
        <v>159</v>
      </c>
      <c r="K206" s="66" t="s">
        <v>1249</v>
      </c>
      <c r="L206" s="70"/>
      <c r="M206" s="71">
        <v>7197.41845703125</v>
      </c>
      <c r="N206" s="71">
        <v>8398.0361328125</v>
      </c>
      <c r="O206" s="72"/>
      <c r="P206" s="73"/>
      <c r="Q206" s="73"/>
      <c r="R206" s="94"/>
      <c r="S206" s="45">
        <v>0</v>
      </c>
      <c r="T206" s="45">
        <v>1</v>
      </c>
      <c r="U206" s="46">
        <v>0</v>
      </c>
      <c r="V206" s="46">
        <v>0.077723</v>
      </c>
      <c r="W206" s="46">
        <v>0.000861</v>
      </c>
      <c r="X206" s="46">
        <v>0.002063</v>
      </c>
      <c r="Y206" s="46">
        <v>0</v>
      </c>
      <c r="Z206" s="46">
        <v>0</v>
      </c>
      <c r="AA206" s="68">
        <v>206</v>
      </c>
      <c r="AB206" s="68"/>
      <c r="AC206" s="69"/>
      <c r="AD206" s="83" t="s">
        <v>1249</v>
      </c>
      <c r="AE206" s="83"/>
      <c r="AF206" s="83"/>
      <c r="AG206" s="83"/>
      <c r="AH206" s="83"/>
      <c r="AI206" s="83" t="s">
        <v>2284</v>
      </c>
      <c r="AJ206" s="92">
        <v>39965.83241898148</v>
      </c>
      <c r="AK206" s="89" t="str">
        <f>HYPERLINK("https://yt3.ggpht.com/OxdRfgqY5YDdk-jYpR64QJvfii0iJmWNj2fj2Obc7dZD5NZ9jGSPR_4e5kmfMelry0B04zAb=s88-c-k-c0x00ffffff-no-rj")</f>
        <v>https://yt3.ggpht.com/OxdRfgqY5YDdk-jYpR64QJvfii0iJmWNj2fj2Obc7dZD5NZ9jGSPR_4e5kmfMelry0B04zAb=s88-c-k-c0x00ffffff-no-rj</v>
      </c>
      <c r="AL206" s="83">
        <v>0</v>
      </c>
      <c r="AM206" s="83">
        <v>0</v>
      </c>
      <c r="AN206" s="83">
        <v>7</v>
      </c>
      <c r="AO206" s="83" t="b">
        <v>0</v>
      </c>
      <c r="AP206" s="83">
        <v>0</v>
      </c>
      <c r="AQ206" s="83"/>
      <c r="AR206" s="83"/>
      <c r="AS206" s="83" t="s">
        <v>2744</v>
      </c>
      <c r="AT206" s="89" t="str">
        <f>HYPERLINK("https://www.youtube.com/channel/UCw2TBAxkbC12wt1bnUmbm1w")</f>
        <v>https://www.youtube.com/channel/UCw2TBAxkbC12wt1bnUmbm1w</v>
      </c>
      <c r="AU206" s="83" t="str">
        <f>REPLACE(INDEX(GroupVertices[Group],MATCH(Vertices[[#This Row],[Vertex]],GroupVertices[Vertex],0)),1,1,"")</f>
        <v>7</v>
      </c>
      <c r="AV206" s="45"/>
      <c r="AW206" s="46"/>
      <c r="AX206" s="45"/>
      <c r="AY206" s="46"/>
      <c r="AZ206" s="45"/>
      <c r="BA206" s="46"/>
      <c r="BB206" s="45"/>
      <c r="BC206" s="46"/>
      <c r="BD206" s="45"/>
      <c r="BE206" s="110" t="s">
        <v>1874</v>
      </c>
      <c r="BF206" s="110" t="s">
        <v>1874</v>
      </c>
      <c r="BG206" s="110" t="s">
        <v>1874</v>
      </c>
      <c r="BH206" s="110" t="s">
        <v>1874</v>
      </c>
      <c r="BI206" s="2"/>
    </row>
    <row r="207" spans="1:61" ht="15">
      <c r="A207" s="61" t="s">
        <v>412</v>
      </c>
      <c r="B207" s="62" t="s">
        <v>2893</v>
      </c>
      <c r="C207" s="62"/>
      <c r="D207" s="63">
        <v>100</v>
      </c>
      <c r="E207" s="65">
        <v>50</v>
      </c>
      <c r="F207" s="100" t="str">
        <f>HYPERLINK("https://yt3.ggpht.com/ytc/AGIKgqOzmBZBBL05Bx_Nrz5gIjxRaLhFlwYzoEwGF4t3fw=s88-c-k-c0x00ffffff-no-rj")</f>
        <v>https://yt3.ggpht.com/ytc/AGIKgqOzmBZBBL05Bx_Nrz5gIjxRaLhFlwYzoEwGF4t3fw=s88-c-k-c0x00ffffff-no-rj</v>
      </c>
      <c r="G207" s="62"/>
      <c r="H207" s="66" t="s">
        <v>1250</v>
      </c>
      <c r="I207" s="67"/>
      <c r="J207" s="67" t="s">
        <v>159</v>
      </c>
      <c r="K207" s="66" t="s">
        <v>1250</v>
      </c>
      <c r="L207" s="70"/>
      <c r="M207" s="71">
        <v>8399.42578125</v>
      </c>
      <c r="N207" s="71">
        <v>8926.0732421875</v>
      </c>
      <c r="O207" s="72"/>
      <c r="P207" s="73"/>
      <c r="Q207" s="73"/>
      <c r="R207" s="94"/>
      <c r="S207" s="45">
        <v>0</v>
      </c>
      <c r="T207" s="45">
        <v>1</v>
      </c>
      <c r="U207" s="46">
        <v>0</v>
      </c>
      <c r="V207" s="46">
        <v>0.077723</v>
      </c>
      <c r="W207" s="46">
        <v>0.000861</v>
      </c>
      <c r="X207" s="46">
        <v>0.002063</v>
      </c>
      <c r="Y207" s="46">
        <v>0</v>
      </c>
      <c r="Z207" s="46">
        <v>0</v>
      </c>
      <c r="AA207" s="68">
        <v>207</v>
      </c>
      <c r="AB207" s="68"/>
      <c r="AC207" s="69"/>
      <c r="AD207" s="83" t="s">
        <v>1250</v>
      </c>
      <c r="AE207" s="83"/>
      <c r="AF207" s="83"/>
      <c r="AG207" s="83"/>
      <c r="AH207" s="83"/>
      <c r="AI207" s="83" t="s">
        <v>2285</v>
      </c>
      <c r="AJ207" s="92">
        <v>40425.221550925926</v>
      </c>
      <c r="AK207" s="89" t="str">
        <f>HYPERLINK("https://yt3.ggpht.com/ytc/AGIKgqOzmBZBBL05Bx_Nrz5gIjxRaLhFlwYzoEwGF4t3fw=s88-c-k-c0x00ffffff-no-rj")</f>
        <v>https://yt3.ggpht.com/ytc/AGIKgqOzmBZBBL05Bx_Nrz5gIjxRaLhFlwYzoEwGF4t3fw=s88-c-k-c0x00ffffff-no-rj</v>
      </c>
      <c r="AL207" s="83">
        <v>0</v>
      </c>
      <c r="AM207" s="83">
        <v>0</v>
      </c>
      <c r="AN207" s="83">
        <v>53</v>
      </c>
      <c r="AO207" s="83" t="b">
        <v>0</v>
      </c>
      <c r="AP207" s="83">
        <v>0</v>
      </c>
      <c r="AQ207" s="83"/>
      <c r="AR207" s="83"/>
      <c r="AS207" s="83" t="s">
        <v>2744</v>
      </c>
      <c r="AT207" s="89" t="str">
        <f>HYPERLINK("https://www.youtube.com/channel/UCoFKSGQGP8P92wFg0FXWMJA")</f>
        <v>https://www.youtube.com/channel/UCoFKSGQGP8P92wFg0FXWMJA</v>
      </c>
      <c r="AU207" s="83" t="str">
        <f>REPLACE(INDEX(GroupVertices[Group],MATCH(Vertices[[#This Row],[Vertex]],GroupVertices[Vertex],0)),1,1,"")</f>
        <v>7</v>
      </c>
      <c r="AV207" s="45"/>
      <c r="AW207" s="46"/>
      <c r="AX207" s="45"/>
      <c r="AY207" s="46"/>
      <c r="AZ207" s="45"/>
      <c r="BA207" s="46"/>
      <c r="BB207" s="45"/>
      <c r="BC207" s="46"/>
      <c r="BD207" s="45"/>
      <c r="BE207" s="110" t="s">
        <v>1874</v>
      </c>
      <c r="BF207" s="110" t="s">
        <v>1874</v>
      </c>
      <c r="BG207" s="110" t="s">
        <v>1874</v>
      </c>
      <c r="BH207" s="110" t="s">
        <v>1874</v>
      </c>
      <c r="BI207" s="2"/>
    </row>
    <row r="208" spans="1:61" ht="15">
      <c r="A208" s="61" t="s">
        <v>413</v>
      </c>
      <c r="B208" s="62" t="s">
        <v>2893</v>
      </c>
      <c r="C208" s="62"/>
      <c r="D208" s="63">
        <v>100</v>
      </c>
      <c r="E208" s="65">
        <v>50</v>
      </c>
      <c r="F208" s="100" t="str">
        <f>HYPERLINK("https://yt3.ggpht.com/ytc/AGIKgqOFQAappovaBQNCbcNS8pXECZAeZIw58shlFQ=s88-c-k-c0x00ffffff-no-rj")</f>
        <v>https://yt3.ggpht.com/ytc/AGIKgqOFQAappovaBQNCbcNS8pXECZAeZIw58shlFQ=s88-c-k-c0x00ffffff-no-rj</v>
      </c>
      <c r="G208" s="62"/>
      <c r="H208" s="66" t="s">
        <v>1251</v>
      </c>
      <c r="I208" s="67"/>
      <c r="J208" s="67" t="s">
        <v>159</v>
      </c>
      <c r="K208" s="66" t="s">
        <v>1251</v>
      </c>
      <c r="L208" s="70"/>
      <c r="M208" s="71">
        <v>8098.92333984375</v>
      </c>
      <c r="N208" s="71">
        <v>8926.0732421875</v>
      </c>
      <c r="O208" s="72"/>
      <c r="P208" s="73"/>
      <c r="Q208" s="73"/>
      <c r="R208" s="94"/>
      <c r="S208" s="45">
        <v>0</v>
      </c>
      <c r="T208" s="45">
        <v>1</v>
      </c>
      <c r="U208" s="46">
        <v>0</v>
      </c>
      <c r="V208" s="46">
        <v>0.077723</v>
      </c>
      <c r="W208" s="46">
        <v>0.000861</v>
      </c>
      <c r="X208" s="46">
        <v>0.002063</v>
      </c>
      <c r="Y208" s="46">
        <v>0</v>
      </c>
      <c r="Z208" s="46">
        <v>0</v>
      </c>
      <c r="AA208" s="68">
        <v>208</v>
      </c>
      <c r="AB208" s="68"/>
      <c r="AC208" s="69"/>
      <c r="AD208" s="83" t="s">
        <v>1251</v>
      </c>
      <c r="AE208" s="83"/>
      <c r="AF208" s="83"/>
      <c r="AG208" s="83"/>
      <c r="AH208" s="83"/>
      <c r="AI208" s="83" t="s">
        <v>2286</v>
      </c>
      <c r="AJ208" s="92">
        <v>42318.8803587963</v>
      </c>
      <c r="AK208" s="89" t="str">
        <f>HYPERLINK("https://yt3.ggpht.com/ytc/AGIKgqOFQAappovaBQNCbcNS8pXECZAeZIw58shlFQ=s88-c-k-c0x00ffffff-no-rj")</f>
        <v>https://yt3.ggpht.com/ytc/AGIKgqOFQAappovaBQNCbcNS8pXECZAeZIw58shlFQ=s88-c-k-c0x00ffffff-no-rj</v>
      </c>
      <c r="AL208" s="83">
        <v>0</v>
      </c>
      <c r="AM208" s="83">
        <v>0</v>
      </c>
      <c r="AN208" s="83">
        <v>7</v>
      </c>
      <c r="AO208" s="83" t="b">
        <v>0</v>
      </c>
      <c r="AP208" s="83">
        <v>0</v>
      </c>
      <c r="AQ208" s="83"/>
      <c r="AR208" s="83"/>
      <c r="AS208" s="83" t="s">
        <v>2744</v>
      </c>
      <c r="AT208" s="89" t="str">
        <f>HYPERLINK("https://www.youtube.com/channel/UCDnI6cZ3AdUPrKWtbUDRc0w")</f>
        <v>https://www.youtube.com/channel/UCDnI6cZ3AdUPrKWtbUDRc0w</v>
      </c>
      <c r="AU208" s="83" t="str">
        <f>REPLACE(INDEX(GroupVertices[Group],MATCH(Vertices[[#This Row],[Vertex]],GroupVertices[Vertex],0)),1,1,"")</f>
        <v>7</v>
      </c>
      <c r="AV208" s="45"/>
      <c r="AW208" s="46"/>
      <c r="AX208" s="45"/>
      <c r="AY208" s="46"/>
      <c r="AZ208" s="45"/>
      <c r="BA208" s="46"/>
      <c r="BB208" s="45"/>
      <c r="BC208" s="46"/>
      <c r="BD208" s="45"/>
      <c r="BE208" s="110" t="s">
        <v>1874</v>
      </c>
      <c r="BF208" s="110" t="s">
        <v>1874</v>
      </c>
      <c r="BG208" s="110" t="s">
        <v>1874</v>
      </c>
      <c r="BH208" s="110" t="s">
        <v>1874</v>
      </c>
      <c r="BI208" s="2"/>
    </row>
    <row r="209" spans="1:61" ht="15">
      <c r="A209" s="61" t="s">
        <v>414</v>
      </c>
      <c r="B209" s="62" t="s">
        <v>2893</v>
      </c>
      <c r="C209" s="62"/>
      <c r="D209" s="63">
        <v>100</v>
      </c>
      <c r="E209" s="65">
        <v>50</v>
      </c>
      <c r="F209" s="100" t="str">
        <f>HYPERLINK("https://yt3.ggpht.com/ytc/AGIKgqOEvi9j69rcU8oUP95WN5ncwb0Q2eBbTG6j6A=s88-c-k-c0x00ffffff-no-rj")</f>
        <v>https://yt3.ggpht.com/ytc/AGIKgqOEvi9j69rcU8oUP95WN5ncwb0Q2eBbTG6j6A=s88-c-k-c0x00ffffff-no-rj</v>
      </c>
      <c r="G209" s="62"/>
      <c r="H209" s="66" t="s">
        <v>1252</v>
      </c>
      <c r="I209" s="67"/>
      <c r="J209" s="67" t="s">
        <v>159</v>
      </c>
      <c r="K209" s="66" t="s">
        <v>1252</v>
      </c>
      <c r="L209" s="70"/>
      <c r="M209" s="71">
        <v>7798.42236328125</v>
      </c>
      <c r="N209" s="71">
        <v>8926.0732421875</v>
      </c>
      <c r="O209" s="72"/>
      <c r="P209" s="73"/>
      <c r="Q209" s="73"/>
      <c r="R209" s="94"/>
      <c r="S209" s="45">
        <v>0</v>
      </c>
      <c r="T209" s="45">
        <v>1</v>
      </c>
      <c r="U209" s="46">
        <v>0</v>
      </c>
      <c r="V209" s="46">
        <v>0.077723</v>
      </c>
      <c r="W209" s="46">
        <v>0.000861</v>
      </c>
      <c r="X209" s="46">
        <v>0.002063</v>
      </c>
      <c r="Y209" s="46">
        <v>0</v>
      </c>
      <c r="Z209" s="46">
        <v>0</v>
      </c>
      <c r="AA209" s="68">
        <v>209</v>
      </c>
      <c r="AB209" s="68"/>
      <c r="AC209" s="69"/>
      <c r="AD209" s="83" t="s">
        <v>1252</v>
      </c>
      <c r="AE209" s="83"/>
      <c r="AF209" s="83"/>
      <c r="AG209" s="83"/>
      <c r="AH209" s="83"/>
      <c r="AI209" s="83" t="s">
        <v>2287</v>
      </c>
      <c r="AJ209" s="92">
        <v>42279.971180555556</v>
      </c>
      <c r="AK209" s="89" t="str">
        <f>HYPERLINK("https://yt3.ggpht.com/ytc/AGIKgqOEvi9j69rcU8oUP95WN5ncwb0Q2eBbTG6j6A=s88-c-k-c0x00ffffff-no-rj")</f>
        <v>https://yt3.ggpht.com/ytc/AGIKgqOEvi9j69rcU8oUP95WN5ncwb0Q2eBbTG6j6A=s88-c-k-c0x00ffffff-no-rj</v>
      </c>
      <c r="AL209" s="83">
        <v>0</v>
      </c>
      <c r="AM209" s="83">
        <v>0</v>
      </c>
      <c r="AN209" s="83">
        <v>0</v>
      </c>
      <c r="AO209" s="83" t="b">
        <v>0</v>
      </c>
      <c r="AP209" s="83">
        <v>0</v>
      </c>
      <c r="AQ209" s="83"/>
      <c r="AR209" s="83"/>
      <c r="AS209" s="83" t="s">
        <v>2744</v>
      </c>
      <c r="AT209" s="89" t="str">
        <f>HYPERLINK("https://www.youtube.com/channel/UC1fFSFMfHPKMAxUf4VBsBdQ")</f>
        <v>https://www.youtube.com/channel/UC1fFSFMfHPKMAxUf4VBsBdQ</v>
      </c>
      <c r="AU209" s="83" t="str">
        <f>REPLACE(INDEX(GroupVertices[Group],MATCH(Vertices[[#This Row],[Vertex]],GroupVertices[Vertex],0)),1,1,"")</f>
        <v>7</v>
      </c>
      <c r="AV209" s="45"/>
      <c r="AW209" s="46"/>
      <c r="AX209" s="45"/>
      <c r="AY209" s="46"/>
      <c r="AZ209" s="45"/>
      <c r="BA209" s="46"/>
      <c r="BB209" s="45"/>
      <c r="BC209" s="46"/>
      <c r="BD209" s="45"/>
      <c r="BE209" s="110" t="s">
        <v>1874</v>
      </c>
      <c r="BF209" s="110" t="s">
        <v>1874</v>
      </c>
      <c r="BG209" s="110" t="s">
        <v>1874</v>
      </c>
      <c r="BH209" s="110" t="s">
        <v>1874</v>
      </c>
      <c r="BI209" s="2"/>
    </row>
    <row r="210" spans="1:61" ht="15">
      <c r="A210" s="61" t="s">
        <v>415</v>
      </c>
      <c r="B210" s="62" t="s">
        <v>2893</v>
      </c>
      <c r="C210" s="62"/>
      <c r="D210" s="63">
        <v>100</v>
      </c>
      <c r="E210" s="65">
        <v>50</v>
      </c>
      <c r="F210" s="100" t="str">
        <f>HYPERLINK("https://yt3.ggpht.com/ytc/AGIKgqOXHHQbsVDRLfabNrHyXWvmYYdDSBrsqrkqbw=s88-c-k-c0x00ffffff-no-rj")</f>
        <v>https://yt3.ggpht.com/ytc/AGIKgqOXHHQbsVDRLfabNrHyXWvmYYdDSBrsqrkqbw=s88-c-k-c0x00ffffff-no-rj</v>
      </c>
      <c r="G210" s="62"/>
      <c r="H210" s="66" t="s">
        <v>1253</v>
      </c>
      <c r="I210" s="67"/>
      <c r="J210" s="67" t="s">
        <v>159</v>
      </c>
      <c r="K210" s="66" t="s">
        <v>1253</v>
      </c>
      <c r="L210" s="70"/>
      <c r="M210" s="71">
        <v>7497.9208984375</v>
      </c>
      <c r="N210" s="71">
        <v>8926.0732421875</v>
      </c>
      <c r="O210" s="72"/>
      <c r="P210" s="73"/>
      <c r="Q210" s="73"/>
      <c r="R210" s="94"/>
      <c r="S210" s="45">
        <v>0</v>
      </c>
      <c r="T210" s="45">
        <v>1</v>
      </c>
      <c r="U210" s="46">
        <v>0</v>
      </c>
      <c r="V210" s="46">
        <v>0.077723</v>
      </c>
      <c r="W210" s="46">
        <v>0.000861</v>
      </c>
      <c r="X210" s="46">
        <v>0.002063</v>
      </c>
      <c r="Y210" s="46">
        <v>0</v>
      </c>
      <c r="Z210" s="46">
        <v>0</v>
      </c>
      <c r="AA210" s="68">
        <v>210</v>
      </c>
      <c r="AB210" s="68"/>
      <c r="AC210" s="69"/>
      <c r="AD210" s="83" t="s">
        <v>1253</v>
      </c>
      <c r="AE210" s="83"/>
      <c r="AF210" s="83"/>
      <c r="AG210" s="83"/>
      <c r="AH210" s="83"/>
      <c r="AI210" s="83" t="s">
        <v>2288</v>
      </c>
      <c r="AJ210" s="92">
        <v>41581.84144675926</v>
      </c>
      <c r="AK210" s="89" t="str">
        <f>HYPERLINK("https://yt3.ggpht.com/ytc/AGIKgqOXHHQbsVDRLfabNrHyXWvmYYdDSBrsqrkqbw=s88-c-k-c0x00ffffff-no-rj")</f>
        <v>https://yt3.ggpht.com/ytc/AGIKgqOXHHQbsVDRLfabNrHyXWvmYYdDSBrsqrkqbw=s88-c-k-c0x00ffffff-no-rj</v>
      </c>
      <c r="AL210" s="83">
        <v>411</v>
      </c>
      <c r="AM210" s="83">
        <v>0</v>
      </c>
      <c r="AN210" s="83">
        <v>3</v>
      </c>
      <c r="AO210" s="83" t="b">
        <v>0</v>
      </c>
      <c r="AP210" s="83">
        <v>12</v>
      </c>
      <c r="AQ210" s="83"/>
      <c r="AR210" s="83"/>
      <c r="AS210" s="83" t="s">
        <v>2744</v>
      </c>
      <c r="AT210" s="89" t="str">
        <f>HYPERLINK("https://www.youtube.com/channel/UCoSRMdFpGKiBWV8xaY7u-YA")</f>
        <v>https://www.youtube.com/channel/UCoSRMdFpGKiBWV8xaY7u-YA</v>
      </c>
      <c r="AU210" s="83" t="str">
        <f>REPLACE(INDEX(GroupVertices[Group],MATCH(Vertices[[#This Row],[Vertex]],GroupVertices[Vertex],0)),1,1,"")</f>
        <v>7</v>
      </c>
      <c r="AV210" s="45"/>
      <c r="AW210" s="46"/>
      <c r="AX210" s="45"/>
      <c r="AY210" s="46"/>
      <c r="AZ210" s="45"/>
      <c r="BA210" s="46"/>
      <c r="BB210" s="45"/>
      <c r="BC210" s="46"/>
      <c r="BD210" s="45"/>
      <c r="BE210" s="110" t="s">
        <v>1874</v>
      </c>
      <c r="BF210" s="110" t="s">
        <v>1874</v>
      </c>
      <c r="BG210" s="110" t="s">
        <v>1874</v>
      </c>
      <c r="BH210" s="110" t="s">
        <v>1874</v>
      </c>
      <c r="BI210" s="2"/>
    </row>
    <row r="211" spans="1:61" ht="15">
      <c r="A211" s="61" t="s">
        <v>416</v>
      </c>
      <c r="B211" s="62" t="s">
        <v>2893</v>
      </c>
      <c r="C211" s="62"/>
      <c r="D211" s="63">
        <v>100</v>
      </c>
      <c r="E211" s="65">
        <v>50</v>
      </c>
      <c r="F211" s="100" t="str">
        <f>HYPERLINK("https://yt3.ggpht.com/Ljuk7-X_b45FI5FQcnx849_HEOj6RS54DD-B_f-eZ0fE_qeTXpSNpoNUXOLnlLvmk0OHSF9ZdnQ=s88-c-k-c0x00ffffff-no-rj")</f>
        <v>https://yt3.ggpht.com/Ljuk7-X_b45FI5FQcnx849_HEOj6RS54DD-B_f-eZ0fE_qeTXpSNpoNUXOLnlLvmk0OHSF9ZdnQ=s88-c-k-c0x00ffffff-no-rj</v>
      </c>
      <c r="G211" s="62"/>
      <c r="H211" s="66" t="s">
        <v>1254</v>
      </c>
      <c r="I211" s="67"/>
      <c r="J211" s="67" t="s">
        <v>159</v>
      </c>
      <c r="K211" s="66" t="s">
        <v>1254</v>
      </c>
      <c r="L211" s="70"/>
      <c r="M211" s="71">
        <v>7197.41845703125</v>
      </c>
      <c r="N211" s="71">
        <v>8926.0732421875</v>
      </c>
      <c r="O211" s="72"/>
      <c r="P211" s="73"/>
      <c r="Q211" s="73"/>
      <c r="R211" s="94"/>
      <c r="S211" s="45">
        <v>0</v>
      </c>
      <c r="T211" s="45">
        <v>1</v>
      </c>
      <c r="U211" s="46">
        <v>0</v>
      </c>
      <c r="V211" s="46">
        <v>0.077723</v>
      </c>
      <c r="W211" s="46">
        <v>0.000861</v>
      </c>
      <c r="X211" s="46">
        <v>0.002063</v>
      </c>
      <c r="Y211" s="46">
        <v>0</v>
      </c>
      <c r="Z211" s="46">
        <v>0</v>
      </c>
      <c r="AA211" s="68">
        <v>211</v>
      </c>
      <c r="AB211" s="68"/>
      <c r="AC211" s="69"/>
      <c r="AD211" s="83" t="s">
        <v>1254</v>
      </c>
      <c r="AE211" s="89" t="str">
        <f>HYPERLINK("https://www.youtube.com/@kupacronk0")</f>
        <v>https://www.youtube.com/@kupacronk0</v>
      </c>
      <c r="AF211" s="83"/>
      <c r="AG211" s="83"/>
      <c r="AH211" s="83"/>
      <c r="AI211" s="83" t="s">
        <v>2289</v>
      </c>
      <c r="AJ211" s="83" t="s">
        <v>2624</v>
      </c>
      <c r="AK211" s="89" t="str">
        <f>HYPERLINK("https://yt3.ggpht.com/Ljuk7-X_b45FI5FQcnx849_HEOj6RS54DD-B_f-eZ0fE_qeTXpSNpoNUXOLnlLvmk0OHSF9ZdnQ=s88-c-k-c0x00ffffff-no-rj")</f>
        <v>https://yt3.ggpht.com/Ljuk7-X_b45FI5FQcnx849_HEOj6RS54DD-B_f-eZ0fE_qeTXpSNpoNUXOLnlLvmk0OHSF9ZdnQ=s88-c-k-c0x00ffffff-no-rj</v>
      </c>
      <c r="AL211" s="83">
        <v>0</v>
      </c>
      <c r="AM211" s="83">
        <v>0</v>
      </c>
      <c r="AN211" s="83">
        <v>24</v>
      </c>
      <c r="AO211" s="83" t="b">
        <v>0</v>
      </c>
      <c r="AP211" s="83">
        <v>0</v>
      </c>
      <c r="AQ211" s="83"/>
      <c r="AR211" s="83"/>
      <c r="AS211" s="83" t="s">
        <v>2744</v>
      </c>
      <c r="AT211" s="89" t="str">
        <f>HYPERLINK("https://www.youtube.com/channel/UCFng6Aey2LdahbQEq7nJZMQ")</f>
        <v>https://www.youtube.com/channel/UCFng6Aey2LdahbQEq7nJZMQ</v>
      </c>
      <c r="AU211" s="83" t="str">
        <f>REPLACE(INDEX(GroupVertices[Group],MATCH(Vertices[[#This Row],[Vertex]],GroupVertices[Vertex],0)),1,1,"")</f>
        <v>7</v>
      </c>
      <c r="AV211" s="45"/>
      <c r="AW211" s="46"/>
      <c r="AX211" s="45"/>
      <c r="AY211" s="46"/>
      <c r="AZ211" s="45"/>
      <c r="BA211" s="46"/>
      <c r="BB211" s="45"/>
      <c r="BC211" s="46"/>
      <c r="BD211" s="45"/>
      <c r="BE211" s="110" t="s">
        <v>1874</v>
      </c>
      <c r="BF211" s="110" t="s">
        <v>1874</v>
      </c>
      <c r="BG211" s="110" t="s">
        <v>1874</v>
      </c>
      <c r="BH211" s="110" t="s">
        <v>1874</v>
      </c>
      <c r="BI211" s="2"/>
    </row>
    <row r="212" spans="1:61" ht="15">
      <c r="A212" s="61" t="s">
        <v>417</v>
      </c>
      <c r="B212" s="62" t="s">
        <v>2893</v>
      </c>
      <c r="C212" s="62"/>
      <c r="D212" s="63">
        <v>100</v>
      </c>
      <c r="E212" s="65">
        <v>50</v>
      </c>
      <c r="F212" s="100" t="str">
        <f>HYPERLINK("https://yt3.ggpht.com/Q4N-rPB8sqD1c9p5sqfSCddhgSr7W9Cb8XKWsiuljcNwH8WyJMV4EYo5qqY7OvH9ZTo_x1bF=s88-c-k-c0x00ffffff-no-rj")</f>
        <v>https://yt3.ggpht.com/Q4N-rPB8sqD1c9p5sqfSCddhgSr7W9Cb8XKWsiuljcNwH8WyJMV4EYo5qqY7OvH9ZTo_x1bF=s88-c-k-c0x00ffffff-no-rj</v>
      </c>
      <c r="G212" s="62"/>
      <c r="H212" s="66" t="s">
        <v>1255</v>
      </c>
      <c r="I212" s="67"/>
      <c r="J212" s="67" t="s">
        <v>159</v>
      </c>
      <c r="K212" s="66" t="s">
        <v>1255</v>
      </c>
      <c r="L212" s="70"/>
      <c r="M212" s="71">
        <v>8399.42578125</v>
      </c>
      <c r="N212" s="71">
        <v>9454.111328125</v>
      </c>
      <c r="O212" s="72"/>
      <c r="P212" s="73"/>
      <c r="Q212" s="73"/>
      <c r="R212" s="94"/>
      <c r="S212" s="45">
        <v>0</v>
      </c>
      <c r="T212" s="45">
        <v>1</v>
      </c>
      <c r="U212" s="46">
        <v>0</v>
      </c>
      <c r="V212" s="46">
        <v>0.077723</v>
      </c>
      <c r="W212" s="46">
        <v>0.000861</v>
      </c>
      <c r="X212" s="46">
        <v>0.002063</v>
      </c>
      <c r="Y212" s="46">
        <v>0</v>
      </c>
      <c r="Z212" s="46">
        <v>0</v>
      </c>
      <c r="AA212" s="68">
        <v>212</v>
      </c>
      <c r="AB212" s="68"/>
      <c r="AC212" s="69"/>
      <c r="AD212" s="83" t="s">
        <v>1255</v>
      </c>
      <c r="AE212" s="83" t="s">
        <v>1997</v>
      </c>
      <c r="AF212" s="83"/>
      <c r="AG212" s="83"/>
      <c r="AH212" s="83"/>
      <c r="AI212" s="83" t="s">
        <v>2290</v>
      </c>
      <c r="AJ212" s="83" t="s">
        <v>2625</v>
      </c>
      <c r="AK212" s="89" t="str">
        <f>HYPERLINK("https://yt3.ggpht.com/Q4N-rPB8sqD1c9p5sqfSCddhgSr7W9Cb8XKWsiuljcNwH8WyJMV4EYo5qqY7OvH9ZTo_x1bF=s88-c-k-c0x00ffffff-no-rj")</f>
        <v>https://yt3.ggpht.com/Q4N-rPB8sqD1c9p5sqfSCddhgSr7W9Cb8XKWsiuljcNwH8WyJMV4EYo5qqY7OvH9ZTo_x1bF=s88-c-k-c0x00ffffff-no-rj</v>
      </c>
      <c r="AL212" s="83">
        <v>0</v>
      </c>
      <c r="AM212" s="83">
        <v>0</v>
      </c>
      <c r="AN212" s="83">
        <v>25</v>
      </c>
      <c r="AO212" s="83" t="b">
        <v>0</v>
      </c>
      <c r="AP212" s="83">
        <v>0</v>
      </c>
      <c r="AQ212" s="83"/>
      <c r="AR212" s="83"/>
      <c r="AS212" s="83" t="s">
        <v>2744</v>
      </c>
      <c r="AT212" s="89" t="str">
        <f>HYPERLINK("https://www.youtube.com/channel/UCqZ6CO4dA0WitpXJlANghRQ")</f>
        <v>https://www.youtube.com/channel/UCqZ6CO4dA0WitpXJlANghRQ</v>
      </c>
      <c r="AU212" s="83" t="str">
        <f>REPLACE(INDEX(GroupVertices[Group],MATCH(Vertices[[#This Row],[Vertex]],GroupVertices[Vertex],0)),1,1,"")</f>
        <v>7</v>
      </c>
      <c r="AV212" s="45"/>
      <c r="AW212" s="46"/>
      <c r="AX212" s="45"/>
      <c r="AY212" s="46"/>
      <c r="AZ212" s="45"/>
      <c r="BA212" s="46"/>
      <c r="BB212" s="45"/>
      <c r="BC212" s="46"/>
      <c r="BD212" s="45"/>
      <c r="BE212" s="110" t="s">
        <v>1874</v>
      </c>
      <c r="BF212" s="110" t="s">
        <v>1874</v>
      </c>
      <c r="BG212" s="110" t="s">
        <v>1874</v>
      </c>
      <c r="BH212" s="110" t="s">
        <v>1874</v>
      </c>
      <c r="BI212" s="2"/>
    </row>
    <row r="213" spans="1:61" ht="15">
      <c r="A213" s="61" t="s">
        <v>418</v>
      </c>
      <c r="B213" s="62" t="s">
        <v>2893</v>
      </c>
      <c r="C213" s="62"/>
      <c r="D213" s="63">
        <v>100</v>
      </c>
      <c r="E213" s="65">
        <v>50</v>
      </c>
      <c r="F213" s="100" t="str">
        <f>HYPERLINK("https://yt3.ggpht.com/TsO7BaX9eXSAp4fKPLnmxpV5aprzsF-9ZmrFiwPr0Tj-4zxuAjV8fCHAOkuG-4XOaRC1_y09=s88-c-k-c0x00ffffff-no-rj")</f>
        <v>https://yt3.ggpht.com/TsO7BaX9eXSAp4fKPLnmxpV5aprzsF-9ZmrFiwPr0Tj-4zxuAjV8fCHAOkuG-4XOaRC1_y09=s88-c-k-c0x00ffffff-no-rj</v>
      </c>
      <c r="G213" s="62"/>
      <c r="H213" s="66" t="s">
        <v>1256</v>
      </c>
      <c r="I213" s="67"/>
      <c r="J213" s="67" t="s">
        <v>159</v>
      </c>
      <c r="K213" s="66" t="s">
        <v>1256</v>
      </c>
      <c r="L213" s="70"/>
      <c r="M213" s="71">
        <v>8098.92333984375</v>
      </c>
      <c r="N213" s="71">
        <v>9454.111328125</v>
      </c>
      <c r="O213" s="72"/>
      <c r="P213" s="73"/>
      <c r="Q213" s="73"/>
      <c r="R213" s="94"/>
      <c r="S213" s="45">
        <v>0</v>
      </c>
      <c r="T213" s="45">
        <v>1</v>
      </c>
      <c r="U213" s="46">
        <v>0</v>
      </c>
      <c r="V213" s="46">
        <v>0.077723</v>
      </c>
      <c r="W213" s="46">
        <v>0.000861</v>
      </c>
      <c r="X213" s="46">
        <v>0.002063</v>
      </c>
      <c r="Y213" s="46">
        <v>0</v>
      </c>
      <c r="Z213" s="46">
        <v>0</v>
      </c>
      <c r="AA213" s="68">
        <v>213</v>
      </c>
      <c r="AB213" s="68"/>
      <c r="AC213" s="69"/>
      <c r="AD213" s="83" t="s">
        <v>1256</v>
      </c>
      <c r="AE213" s="83"/>
      <c r="AF213" s="83"/>
      <c r="AG213" s="83"/>
      <c r="AH213" s="83"/>
      <c r="AI213" s="83" t="s">
        <v>2291</v>
      </c>
      <c r="AJ213" s="92">
        <v>41185.69892361111</v>
      </c>
      <c r="AK213" s="89" t="str">
        <f>HYPERLINK("https://yt3.ggpht.com/TsO7BaX9eXSAp4fKPLnmxpV5aprzsF-9ZmrFiwPr0Tj-4zxuAjV8fCHAOkuG-4XOaRC1_y09=s88-c-k-c0x00ffffff-no-rj")</f>
        <v>https://yt3.ggpht.com/TsO7BaX9eXSAp4fKPLnmxpV5aprzsF-9ZmrFiwPr0Tj-4zxuAjV8fCHAOkuG-4XOaRC1_y09=s88-c-k-c0x00ffffff-no-rj</v>
      </c>
      <c r="AL213" s="83">
        <v>25525</v>
      </c>
      <c r="AM213" s="83">
        <v>0</v>
      </c>
      <c r="AN213" s="83">
        <v>99</v>
      </c>
      <c r="AO213" s="83" t="b">
        <v>0</v>
      </c>
      <c r="AP213" s="83">
        <v>115</v>
      </c>
      <c r="AQ213" s="83"/>
      <c r="AR213" s="83"/>
      <c r="AS213" s="83" t="s">
        <v>2744</v>
      </c>
      <c r="AT213" s="89" t="str">
        <f>HYPERLINK("https://www.youtube.com/channel/UC-RVv2qf0EqYivlNPPlj6xQ")</f>
        <v>https://www.youtube.com/channel/UC-RVv2qf0EqYivlNPPlj6xQ</v>
      </c>
      <c r="AU213" s="83" t="str">
        <f>REPLACE(INDEX(GroupVertices[Group],MATCH(Vertices[[#This Row],[Vertex]],GroupVertices[Vertex],0)),1,1,"")</f>
        <v>7</v>
      </c>
      <c r="AV213" s="45"/>
      <c r="AW213" s="46"/>
      <c r="AX213" s="45"/>
      <c r="AY213" s="46"/>
      <c r="AZ213" s="45"/>
      <c r="BA213" s="46"/>
      <c r="BB213" s="45"/>
      <c r="BC213" s="46"/>
      <c r="BD213" s="45"/>
      <c r="BE213" s="110" t="s">
        <v>1874</v>
      </c>
      <c r="BF213" s="110" t="s">
        <v>1874</v>
      </c>
      <c r="BG213" s="110" t="s">
        <v>1874</v>
      </c>
      <c r="BH213" s="110" t="s">
        <v>1874</v>
      </c>
      <c r="BI213" s="2"/>
    </row>
    <row r="214" spans="1:61" ht="15">
      <c r="A214" s="61" t="s">
        <v>419</v>
      </c>
      <c r="B214" s="62" t="s">
        <v>2893</v>
      </c>
      <c r="C214" s="62"/>
      <c r="D214" s="63">
        <v>100</v>
      </c>
      <c r="E214" s="65">
        <v>50</v>
      </c>
      <c r="F214" s="100" t="str">
        <f>HYPERLINK("https://yt3.ggpht.com/ytc/AGIKgqNJXm3BiWHstrZj6AlYy987WxVBtk21kqNJNSv3Poth23EZ2ftDXOZtcc6e-RG3=s88-c-k-c0x00ffffff-no-rj")</f>
        <v>https://yt3.ggpht.com/ytc/AGIKgqNJXm3BiWHstrZj6AlYy987WxVBtk21kqNJNSv3Poth23EZ2ftDXOZtcc6e-RG3=s88-c-k-c0x00ffffff-no-rj</v>
      </c>
      <c r="G214" s="62"/>
      <c r="H214" s="66" t="s">
        <v>1257</v>
      </c>
      <c r="I214" s="67"/>
      <c r="J214" s="67" t="s">
        <v>159</v>
      </c>
      <c r="K214" s="66" t="s">
        <v>1257</v>
      </c>
      <c r="L214" s="70"/>
      <c r="M214" s="71">
        <v>7798.42236328125</v>
      </c>
      <c r="N214" s="71">
        <v>9454.111328125</v>
      </c>
      <c r="O214" s="72"/>
      <c r="P214" s="73"/>
      <c r="Q214" s="73"/>
      <c r="R214" s="94"/>
      <c r="S214" s="45">
        <v>0</v>
      </c>
      <c r="T214" s="45">
        <v>1</v>
      </c>
      <c r="U214" s="46">
        <v>0</v>
      </c>
      <c r="V214" s="46">
        <v>0.077723</v>
      </c>
      <c r="W214" s="46">
        <v>0.000861</v>
      </c>
      <c r="X214" s="46">
        <v>0.002063</v>
      </c>
      <c r="Y214" s="46">
        <v>0</v>
      </c>
      <c r="Z214" s="46">
        <v>0</v>
      </c>
      <c r="AA214" s="68">
        <v>214</v>
      </c>
      <c r="AB214" s="68"/>
      <c r="AC214" s="69"/>
      <c r="AD214" s="83" t="s">
        <v>1257</v>
      </c>
      <c r="AE214" s="83"/>
      <c r="AF214" s="83"/>
      <c r="AG214" s="83"/>
      <c r="AH214" s="83"/>
      <c r="AI214" s="83" t="s">
        <v>2292</v>
      </c>
      <c r="AJ214" s="92">
        <v>45052.88915509259</v>
      </c>
      <c r="AK214" s="89" t="str">
        <f>HYPERLINK("https://yt3.ggpht.com/ytc/AGIKgqNJXm3BiWHstrZj6AlYy987WxVBtk21kqNJNSv3Poth23EZ2ftDXOZtcc6e-RG3=s88-c-k-c0x00ffffff-no-rj")</f>
        <v>https://yt3.ggpht.com/ytc/AGIKgqNJXm3BiWHstrZj6AlYy987WxVBtk21kqNJNSv3Poth23EZ2ftDXOZtcc6e-RG3=s88-c-k-c0x00ffffff-no-rj</v>
      </c>
      <c r="AL214" s="83">
        <v>0</v>
      </c>
      <c r="AM214" s="83">
        <v>0</v>
      </c>
      <c r="AN214" s="83">
        <v>0</v>
      </c>
      <c r="AO214" s="83" t="b">
        <v>0</v>
      </c>
      <c r="AP214" s="83">
        <v>0</v>
      </c>
      <c r="AQ214" s="83"/>
      <c r="AR214" s="83"/>
      <c r="AS214" s="83" t="s">
        <v>2744</v>
      </c>
      <c r="AT214" s="89" t="str">
        <f>HYPERLINK("https://www.youtube.com/channel/UC19k4LxgCVSjWv7NZOvNeeA")</f>
        <v>https://www.youtube.com/channel/UC19k4LxgCVSjWv7NZOvNeeA</v>
      </c>
      <c r="AU214" s="83" t="str">
        <f>REPLACE(INDEX(GroupVertices[Group],MATCH(Vertices[[#This Row],[Vertex]],GroupVertices[Vertex],0)),1,1,"")</f>
        <v>7</v>
      </c>
      <c r="AV214" s="45"/>
      <c r="AW214" s="46"/>
      <c r="AX214" s="45"/>
      <c r="AY214" s="46"/>
      <c r="AZ214" s="45"/>
      <c r="BA214" s="46"/>
      <c r="BB214" s="45"/>
      <c r="BC214" s="46"/>
      <c r="BD214" s="45"/>
      <c r="BE214" s="110" t="s">
        <v>1874</v>
      </c>
      <c r="BF214" s="110" t="s">
        <v>1874</v>
      </c>
      <c r="BG214" s="110" t="s">
        <v>1874</v>
      </c>
      <c r="BH214" s="110" t="s">
        <v>1874</v>
      </c>
      <c r="BI214" s="2"/>
    </row>
    <row r="215" spans="1:61" ht="15">
      <c r="A215" s="61" t="s">
        <v>420</v>
      </c>
      <c r="B215" s="62" t="s">
        <v>2893</v>
      </c>
      <c r="C215" s="62"/>
      <c r="D215" s="63">
        <v>100</v>
      </c>
      <c r="E215" s="65">
        <v>50</v>
      </c>
      <c r="F215" s="100" t="str">
        <f>HYPERLINK("https://yt3.ggpht.com/qyDsbGx8nLw6Zd95VQDoBAUP-kV3DAuI0n-l2xr0_mB90Efz9qEtgXjN928y3-Vw1ostWfRABA=s88-c-k-c0x00ffffff-no-rj")</f>
        <v>https://yt3.ggpht.com/qyDsbGx8nLw6Zd95VQDoBAUP-kV3DAuI0n-l2xr0_mB90Efz9qEtgXjN928y3-Vw1ostWfRABA=s88-c-k-c0x00ffffff-no-rj</v>
      </c>
      <c r="G215" s="62"/>
      <c r="H215" s="66" t="s">
        <v>1258</v>
      </c>
      <c r="I215" s="67"/>
      <c r="J215" s="67" t="s">
        <v>159</v>
      </c>
      <c r="K215" s="66" t="s">
        <v>1258</v>
      </c>
      <c r="L215" s="70"/>
      <c r="M215" s="71">
        <v>9698.166015625</v>
      </c>
      <c r="N215" s="71">
        <v>6049.25439453125</v>
      </c>
      <c r="O215" s="72"/>
      <c r="P215" s="73"/>
      <c r="Q215" s="73"/>
      <c r="R215" s="94"/>
      <c r="S215" s="45">
        <v>0</v>
      </c>
      <c r="T215" s="45">
        <v>1</v>
      </c>
      <c r="U215" s="46">
        <v>0</v>
      </c>
      <c r="V215" s="46">
        <v>0.013628</v>
      </c>
      <c r="W215" s="46">
        <v>0</v>
      </c>
      <c r="X215" s="46">
        <v>0.002077</v>
      </c>
      <c r="Y215" s="46">
        <v>0</v>
      </c>
      <c r="Z215" s="46">
        <v>0</v>
      </c>
      <c r="AA215" s="68">
        <v>215</v>
      </c>
      <c r="AB215" s="68"/>
      <c r="AC215" s="69"/>
      <c r="AD215" s="83" t="s">
        <v>1258</v>
      </c>
      <c r="AE215" s="83" t="s">
        <v>1998</v>
      </c>
      <c r="AF215" s="83"/>
      <c r="AG215" s="83"/>
      <c r="AH215" s="83"/>
      <c r="AI215" s="83" t="s">
        <v>2293</v>
      </c>
      <c r="AJ215" s="83" t="s">
        <v>2626</v>
      </c>
      <c r="AK215" s="89" t="str">
        <f>HYPERLINK("https://yt3.ggpht.com/qyDsbGx8nLw6Zd95VQDoBAUP-kV3DAuI0n-l2xr0_mB90Efz9qEtgXjN928y3-Vw1ostWfRABA=s88-c-k-c0x00ffffff-no-rj")</f>
        <v>https://yt3.ggpht.com/qyDsbGx8nLw6Zd95VQDoBAUP-kV3DAuI0n-l2xr0_mB90Efz9qEtgXjN928y3-Vw1ostWfRABA=s88-c-k-c0x00ffffff-no-rj</v>
      </c>
      <c r="AL215" s="83">
        <v>187046</v>
      </c>
      <c r="AM215" s="83">
        <v>0</v>
      </c>
      <c r="AN215" s="83">
        <v>871</v>
      </c>
      <c r="AO215" s="83" t="b">
        <v>0</v>
      </c>
      <c r="AP215" s="83">
        <v>129</v>
      </c>
      <c r="AQ215" s="83"/>
      <c r="AR215" s="83"/>
      <c r="AS215" s="83" t="s">
        <v>2744</v>
      </c>
      <c r="AT215" s="89" t="str">
        <f>HYPERLINK("https://www.youtube.com/channel/UCyy9nWYtqw4Tx-bcdntpHsw")</f>
        <v>https://www.youtube.com/channel/UCyy9nWYtqw4Tx-bcdntpHsw</v>
      </c>
      <c r="AU215" s="83" t="str">
        <f>REPLACE(INDEX(GroupVertices[Group],MATCH(Vertices[[#This Row],[Vertex]],GroupVertices[Vertex],0)),1,1,"")</f>
        <v>9</v>
      </c>
      <c r="AV215" s="45"/>
      <c r="AW215" s="46"/>
      <c r="AX215" s="45"/>
      <c r="AY215" s="46"/>
      <c r="AZ215" s="45"/>
      <c r="BA215" s="46"/>
      <c r="BB215" s="45"/>
      <c r="BC215" s="46"/>
      <c r="BD215" s="45"/>
      <c r="BE215" s="110" t="s">
        <v>1874</v>
      </c>
      <c r="BF215" s="110" t="s">
        <v>1874</v>
      </c>
      <c r="BG215" s="110" t="s">
        <v>1874</v>
      </c>
      <c r="BH215" s="110" t="s">
        <v>1874</v>
      </c>
      <c r="BI215" s="2"/>
    </row>
    <row r="216" spans="1:61" ht="15">
      <c r="A216" s="61" t="s">
        <v>628</v>
      </c>
      <c r="B216" s="62" t="s">
        <v>2894</v>
      </c>
      <c r="C216" s="62"/>
      <c r="D216" s="63">
        <v>162.3762376237624</v>
      </c>
      <c r="E216" s="65">
        <v>93.75</v>
      </c>
      <c r="F216" s="100" t="str">
        <f>HYPERLINK("https://yt3.ggpht.com/Oe23m44Rbbwjr6OUFDvcLowQYeUZtQ9EZ0p0jrdTnLxJmnSOI87MKvN1vO2OalstjG9gxckG=s88-c-k-c0x00ffffff-no-rj")</f>
        <v>https://yt3.ggpht.com/Oe23m44Rbbwjr6OUFDvcLowQYeUZtQ9EZ0p0jrdTnLxJmnSOI87MKvN1vO2OalstjG9gxckG=s88-c-k-c0x00ffffff-no-rj</v>
      </c>
      <c r="G216" s="62"/>
      <c r="H216" s="66" t="s">
        <v>1447</v>
      </c>
      <c r="I216" s="67"/>
      <c r="J216" s="67" t="s">
        <v>75</v>
      </c>
      <c r="K216" s="66" t="s">
        <v>1447</v>
      </c>
      <c r="L216" s="70"/>
      <c r="M216" s="71">
        <v>9026.6904296875</v>
      </c>
      <c r="N216" s="71">
        <v>6547.80078125</v>
      </c>
      <c r="O216" s="72"/>
      <c r="P216" s="73"/>
      <c r="Q216" s="73"/>
      <c r="R216" s="94"/>
      <c r="S216" s="45">
        <v>7</v>
      </c>
      <c r="T216" s="45">
        <v>2</v>
      </c>
      <c r="U216" s="46">
        <v>126</v>
      </c>
      <c r="V216" s="46">
        <v>0.022065</v>
      </c>
      <c r="W216" s="46">
        <v>0</v>
      </c>
      <c r="X216" s="46">
        <v>0.003876</v>
      </c>
      <c r="Y216" s="46">
        <v>0</v>
      </c>
      <c r="Z216" s="46">
        <v>0</v>
      </c>
      <c r="AA216" s="68">
        <v>216</v>
      </c>
      <c r="AB216" s="68"/>
      <c r="AC216" s="69"/>
      <c r="AD216" s="83" t="s">
        <v>1447</v>
      </c>
      <c r="AE216" s="83" t="s">
        <v>1999</v>
      </c>
      <c r="AF216" s="83"/>
      <c r="AG216" s="83"/>
      <c r="AH216" s="83"/>
      <c r="AI216" s="83" t="s">
        <v>2294</v>
      </c>
      <c r="AJ216" s="83" t="s">
        <v>2627</v>
      </c>
      <c r="AK216" s="89" t="str">
        <f>HYPERLINK("https://yt3.ggpht.com/Oe23m44Rbbwjr6OUFDvcLowQYeUZtQ9EZ0p0jrdTnLxJmnSOI87MKvN1vO2OalstjG9gxckG=s88-c-k-c0x00ffffff-no-rj")</f>
        <v>https://yt3.ggpht.com/Oe23m44Rbbwjr6OUFDvcLowQYeUZtQ9EZ0p0jrdTnLxJmnSOI87MKvN1vO2OalstjG9gxckG=s88-c-k-c0x00ffffff-no-rj</v>
      </c>
      <c r="AL216" s="83">
        <v>4497</v>
      </c>
      <c r="AM216" s="83">
        <v>0</v>
      </c>
      <c r="AN216" s="83">
        <v>79</v>
      </c>
      <c r="AO216" s="83" t="b">
        <v>0</v>
      </c>
      <c r="AP216" s="83">
        <v>22</v>
      </c>
      <c r="AQ216" s="83"/>
      <c r="AR216" s="83"/>
      <c r="AS216" s="83" t="s">
        <v>2744</v>
      </c>
      <c r="AT216" s="89" t="str">
        <f>HYPERLINK("https://www.youtube.com/channel/UCtJgK9To6IOyPvAjNlqNBfg")</f>
        <v>https://www.youtube.com/channel/UCtJgK9To6IOyPvAjNlqNBfg</v>
      </c>
      <c r="AU216" s="83" t="str">
        <f>REPLACE(INDEX(GroupVertices[Group],MATCH(Vertices[[#This Row],[Vertex]],GroupVertices[Vertex],0)),1,1,"")</f>
        <v>9</v>
      </c>
      <c r="AV216" s="45"/>
      <c r="AW216" s="46"/>
      <c r="AX216" s="45"/>
      <c r="AY216" s="46"/>
      <c r="AZ216" s="45"/>
      <c r="BA216" s="46"/>
      <c r="BB216" s="45"/>
      <c r="BC216" s="46"/>
      <c r="BD216" s="45"/>
      <c r="BE216" s="110" t="s">
        <v>1874</v>
      </c>
      <c r="BF216" s="110" t="s">
        <v>1874</v>
      </c>
      <c r="BG216" s="110" t="s">
        <v>1874</v>
      </c>
      <c r="BH216" s="110" t="s">
        <v>1874</v>
      </c>
      <c r="BI216" s="2"/>
    </row>
    <row r="217" spans="1:61" ht="15">
      <c r="A217" s="61" t="s">
        <v>421</v>
      </c>
      <c r="B217" s="62" t="s">
        <v>2893</v>
      </c>
      <c r="C217" s="62"/>
      <c r="D217" s="63">
        <v>100</v>
      </c>
      <c r="E217" s="65">
        <v>50</v>
      </c>
      <c r="F217" s="100" t="str">
        <f>HYPERLINK("https://yt3.ggpht.com/yfbcYtDU-OmAZcEb5Yg94pl9_S7sx3y6MZt3NKGACcerc2YfqsRRrOLXht1QksHOHcdTF6mgIA=s88-c-k-c0x00ffffff-no-rj")</f>
        <v>https://yt3.ggpht.com/yfbcYtDU-OmAZcEb5Yg94pl9_S7sx3y6MZt3NKGACcerc2YfqsRRrOLXht1QksHOHcdTF6mgIA=s88-c-k-c0x00ffffff-no-rj</v>
      </c>
      <c r="G217" s="62"/>
      <c r="H217" s="66" t="s">
        <v>1259</v>
      </c>
      <c r="I217" s="67"/>
      <c r="J217" s="67" t="s">
        <v>159</v>
      </c>
      <c r="K217" s="66" t="s">
        <v>1259</v>
      </c>
      <c r="L217" s="70"/>
      <c r="M217" s="71">
        <v>9026.6904296875</v>
      </c>
      <c r="N217" s="71">
        <v>6049.25439453125</v>
      </c>
      <c r="O217" s="72"/>
      <c r="P217" s="73"/>
      <c r="Q217" s="73"/>
      <c r="R217" s="94"/>
      <c r="S217" s="45">
        <v>0</v>
      </c>
      <c r="T217" s="45">
        <v>1</v>
      </c>
      <c r="U217" s="46">
        <v>0</v>
      </c>
      <c r="V217" s="46">
        <v>0.013628</v>
      </c>
      <c r="W217" s="46">
        <v>0</v>
      </c>
      <c r="X217" s="46">
        <v>0.002077</v>
      </c>
      <c r="Y217" s="46">
        <v>0</v>
      </c>
      <c r="Z217" s="46">
        <v>0</v>
      </c>
      <c r="AA217" s="68">
        <v>217</v>
      </c>
      <c r="AB217" s="68"/>
      <c r="AC217" s="69"/>
      <c r="AD217" s="83" t="s">
        <v>1259</v>
      </c>
      <c r="AE217" s="83" t="s">
        <v>2000</v>
      </c>
      <c r="AF217" s="83"/>
      <c r="AG217" s="83"/>
      <c r="AH217" s="83"/>
      <c r="AI217" s="83" t="s">
        <v>2295</v>
      </c>
      <c r="AJ217" s="83" t="s">
        <v>2628</v>
      </c>
      <c r="AK217" s="89" t="str">
        <f>HYPERLINK("https://yt3.ggpht.com/yfbcYtDU-OmAZcEb5Yg94pl9_S7sx3y6MZt3NKGACcerc2YfqsRRrOLXht1QksHOHcdTF6mgIA=s88-c-k-c0x00ffffff-no-rj")</f>
        <v>https://yt3.ggpht.com/yfbcYtDU-OmAZcEb5Yg94pl9_S7sx3y6MZt3NKGACcerc2YfqsRRrOLXht1QksHOHcdTF6mgIA=s88-c-k-c0x00ffffff-no-rj</v>
      </c>
      <c r="AL217" s="83">
        <v>612937</v>
      </c>
      <c r="AM217" s="83">
        <v>0</v>
      </c>
      <c r="AN217" s="83">
        <v>2540</v>
      </c>
      <c r="AO217" s="83" t="b">
        <v>0</v>
      </c>
      <c r="AP217" s="83">
        <v>433</v>
      </c>
      <c r="AQ217" s="83"/>
      <c r="AR217" s="83"/>
      <c r="AS217" s="83" t="s">
        <v>2744</v>
      </c>
      <c r="AT217" s="89" t="str">
        <f>HYPERLINK("https://www.youtube.com/channel/UCZ0JaTrkNhmphpDTEvb_-5Q")</f>
        <v>https://www.youtube.com/channel/UCZ0JaTrkNhmphpDTEvb_-5Q</v>
      </c>
      <c r="AU217" s="83" t="str">
        <f>REPLACE(INDEX(GroupVertices[Group],MATCH(Vertices[[#This Row],[Vertex]],GroupVertices[Vertex],0)),1,1,"")</f>
        <v>9</v>
      </c>
      <c r="AV217" s="45"/>
      <c r="AW217" s="46"/>
      <c r="AX217" s="45"/>
      <c r="AY217" s="46"/>
      <c r="AZ217" s="45"/>
      <c r="BA217" s="46"/>
      <c r="BB217" s="45"/>
      <c r="BC217" s="46"/>
      <c r="BD217" s="45"/>
      <c r="BE217" s="110" t="s">
        <v>1874</v>
      </c>
      <c r="BF217" s="110" t="s">
        <v>1874</v>
      </c>
      <c r="BG217" s="110" t="s">
        <v>1874</v>
      </c>
      <c r="BH217" s="110" t="s">
        <v>1874</v>
      </c>
      <c r="BI217" s="2"/>
    </row>
    <row r="218" spans="1:61" ht="15">
      <c r="A218" s="61" t="s">
        <v>422</v>
      </c>
      <c r="B218" s="62" t="s">
        <v>2893</v>
      </c>
      <c r="C218" s="62"/>
      <c r="D218" s="63">
        <v>100</v>
      </c>
      <c r="E218" s="65">
        <v>50</v>
      </c>
      <c r="F218" s="100" t="str">
        <f>HYPERLINK("https://yt3.ggpht.com/ytc/AGIKgqMnRIR-hIWd_SjrmdFypemCYKflPTSraMAjwbtcWQ=s88-c-k-c0x00ffffff-no-rj")</f>
        <v>https://yt3.ggpht.com/ytc/AGIKgqMnRIR-hIWd_SjrmdFypemCYKflPTSraMAjwbtcWQ=s88-c-k-c0x00ffffff-no-rj</v>
      </c>
      <c r="G218" s="62"/>
      <c r="H218" s="66" t="s">
        <v>1260</v>
      </c>
      <c r="I218" s="67"/>
      <c r="J218" s="67" t="s">
        <v>159</v>
      </c>
      <c r="K218" s="66" t="s">
        <v>1260</v>
      </c>
      <c r="L218" s="70"/>
      <c r="M218" s="71">
        <v>8690.953125</v>
      </c>
      <c r="N218" s="71">
        <v>6049.25439453125</v>
      </c>
      <c r="O218" s="72"/>
      <c r="P218" s="73"/>
      <c r="Q218" s="73"/>
      <c r="R218" s="94"/>
      <c r="S218" s="45">
        <v>0</v>
      </c>
      <c r="T218" s="45">
        <v>1</v>
      </c>
      <c r="U218" s="46">
        <v>0</v>
      </c>
      <c r="V218" s="46">
        <v>0.013628</v>
      </c>
      <c r="W218" s="46">
        <v>0</v>
      </c>
      <c r="X218" s="46">
        <v>0.002077</v>
      </c>
      <c r="Y218" s="46">
        <v>0</v>
      </c>
      <c r="Z218" s="46">
        <v>0</v>
      </c>
      <c r="AA218" s="68">
        <v>218</v>
      </c>
      <c r="AB218" s="68"/>
      <c r="AC218" s="69"/>
      <c r="AD218" s="83" t="s">
        <v>1260</v>
      </c>
      <c r="AE218" s="83" t="s">
        <v>2001</v>
      </c>
      <c r="AF218" s="83"/>
      <c r="AG218" s="83"/>
      <c r="AH218" s="83"/>
      <c r="AI218" s="83" t="s">
        <v>2296</v>
      </c>
      <c r="AJ218" s="92">
        <v>43374.68476851852</v>
      </c>
      <c r="AK218" s="89" t="str">
        <f>HYPERLINK("https://yt3.ggpht.com/ytc/AGIKgqMnRIR-hIWd_SjrmdFypemCYKflPTSraMAjwbtcWQ=s88-c-k-c0x00ffffff-no-rj")</f>
        <v>https://yt3.ggpht.com/ytc/AGIKgqMnRIR-hIWd_SjrmdFypemCYKflPTSraMAjwbtcWQ=s88-c-k-c0x00ffffff-no-rj</v>
      </c>
      <c r="AL218" s="83">
        <v>431031</v>
      </c>
      <c r="AM218" s="83">
        <v>0</v>
      </c>
      <c r="AN218" s="83">
        <v>1540</v>
      </c>
      <c r="AO218" s="83" t="b">
        <v>0</v>
      </c>
      <c r="AP218" s="83">
        <v>967</v>
      </c>
      <c r="AQ218" s="83"/>
      <c r="AR218" s="83"/>
      <c r="AS218" s="83" t="s">
        <v>2744</v>
      </c>
      <c r="AT218" s="89" t="str">
        <f>HYPERLINK("https://www.youtube.com/channel/UCfQ_XYXvsh7gufKguHc_p5A")</f>
        <v>https://www.youtube.com/channel/UCfQ_XYXvsh7gufKguHc_p5A</v>
      </c>
      <c r="AU218" s="83" t="str">
        <f>REPLACE(INDEX(GroupVertices[Group],MATCH(Vertices[[#This Row],[Vertex]],GroupVertices[Vertex],0)),1,1,"")</f>
        <v>9</v>
      </c>
      <c r="AV218" s="45"/>
      <c r="AW218" s="46"/>
      <c r="AX218" s="45"/>
      <c r="AY218" s="46"/>
      <c r="AZ218" s="45"/>
      <c r="BA218" s="46"/>
      <c r="BB218" s="45"/>
      <c r="BC218" s="46"/>
      <c r="BD218" s="45"/>
      <c r="BE218" s="110" t="s">
        <v>1874</v>
      </c>
      <c r="BF218" s="110" t="s">
        <v>1874</v>
      </c>
      <c r="BG218" s="110" t="s">
        <v>1874</v>
      </c>
      <c r="BH218" s="110" t="s">
        <v>1874</v>
      </c>
      <c r="BI218" s="2"/>
    </row>
    <row r="219" spans="1:61" ht="15">
      <c r="A219" s="61" t="s">
        <v>423</v>
      </c>
      <c r="B219" s="62" t="s">
        <v>2893</v>
      </c>
      <c r="C219" s="62"/>
      <c r="D219" s="63">
        <v>100</v>
      </c>
      <c r="E219" s="65">
        <v>50</v>
      </c>
      <c r="F219" s="100" t="str">
        <f>HYPERLINK("https://yt3.ggpht.com/_NAJu8bDldPxjRilpWedAUG3Z2p2o_6elynAiJxZuMU1t4svXE0QYdGRBV52Xtsivk4nCmmguQ=s88-c-k-c0x00ffffff-no-rj")</f>
        <v>https://yt3.ggpht.com/_NAJu8bDldPxjRilpWedAUG3Z2p2o_6elynAiJxZuMU1t4svXE0QYdGRBV52Xtsivk4nCmmguQ=s88-c-k-c0x00ffffff-no-rj</v>
      </c>
      <c r="G219" s="62"/>
      <c r="H219" s="66" t="s">
        <v>1261</v>
      </c>
      <c r="I219" s="67"/>
      <c r="J219" s="67" t="s">
        <v>159</v>
      </c>
      <c r="K219" s="66" t="s">
        <v>1261</v>
      </c>
      <c r="L219" s="70"/>
      <c r="M219" s="71">
        <v>9698.166015625</v>
      </c>
      <c r="N219" s="71">
        <v>6547.80078125</v>
      </c>
      <c r="O219" s="72"/>
      <c r="P219" s="73"/>
      <c r="Q219" s="73"/>
      <c r="R219" s="94"/>
      <c r="S219" s="45">
        <v>0</v>
      </c>
      <c r="T219" s="45">
        <v>1</v>
      </c>
      <c r="U219" s="46">
        <v>0</v>
      </c>
      <c r="V219" s="46">
        <v>0.013628</v>
      </c>
      <c r="W219" s="46">
        <v>0</v>
      </c>
      <c r="X219" s="46">
        <v>0.002077</v>
      </c>
      <c r="Y219" s="46">
        <v>0</v>
      </c>
      <c r="Z219" s="46">
        <v>0</v>
      </c>
      <c r="AA219" s="68">
        <v>219</v>
      </c>
      <c r="AB219" s="68"/>
      <c r="AC219" s="69"/>
      <c r="AD219" s="83" t="s">
        <v>1261</v>
      </c>
      <c r="AE219" s="83" t="s">
        <v>2002</v>
      </c>
      <c r="AF219" s="83"/>
      <c r="AG219" s="83"/>
      <c r="AH219" s="83"/>
      <c r="AI219" s="83" t="s">
        <v>2297</v>
      </c>
      <c r="AJ219" s="92">
        <v>43933.8184837963</v>
      </c>
      <c r="AK219" s="89" t="str">
        <f>HYPERLINK("https://yt3.ggpht.com/_NAJu8bDldPxjRilpWedAUG3Z2p2o_6elynAiJxZuMU1t4svXE0QYdGRBV52Xtsivk4nCmmguQ=s88-c-k-c0x00ffffff-no-rj")</f>
        <v>https://yt3.ggpht.com/_NAJu8bDldPxjRilpWedAUG3Z2p2o_6elynAiJxZuMU1t4svXE0QYdGRBV52Xtsivk4nCmmguQ=s88-c-k-c0x00ffffff-no-rj</v>
      </c>
      <c r="AL219" s="83">
        <v>0</v>
      </c>
      <c r="AM219" s="83">
        <v>0</v>
      </c>
      <c r="AN219" s="83">
        <v>0</v>
      </c>
      <c r="AO219" s="83" t="b">
        <v>0</v>
      </c>
      <c r="AP219" s="83">
        <v>0</v>
      </c>
      <c r="AQ219" s="83"/>
      <c r="AR219" s="83"/>
      <c r="AS219" s="83" t="s">
        <v>2744</v>
      </c>
      <c r="AT219" s="89" t="str">
        <f>HYPERLINK("https://www.youtube.com/channel/UCsnwGu-1Wl_4cx-U7ptdjAA")</f>
        <v>https://www.youtube.com/channel/UCsnwGu-1Wl_4cx-U7ptdjAA</v>
      </c>
      <c r="AU219" s="83" t="str">
        <f>REPLACE(INDEX(GroupVertices[Group],MATCH(Vertices[[#This Row],[Vertex]],GroupVertices[Vertex],0)),1,1,"")</f>
        <v>9</v>
      </c>
      <c r="AV219" s="45"/>
      <c r="AW219" s="46"/>
      <c r="AX219" s="45"/>
      <c r="AY219" s="46"/>
      <c r="AZ219" s="45"/>
      <c r="BA219" s="46"/>
      <c r="BB219" s="45"/>
      <c r="BC219" s="46"/>
      <c r="BD219" s="45"/>
      <c r="BE219" s="110" t="s">
        <v>1874</v>
      </c>
      <c r="BF219" s="110" t="s">
        <v>1874</v>
      </c>
      <c r="BG219" s="110" t="s">
        <v>1874</v>
      </c>
      <c r="BH219" s="110" t="s">
        <v>1874</v>
      </c>
      <c r="BI219" s="2"/>
    </row>
    <row r="220" spans="1:61" ht="15">
      <c r="A220" s="61" t="s">
        <v>424</v>
      </c>
      <c r="B220" s="62" t="s">
        <v>2893</v>
      </c>
      <c r="C220" s="62"/>
      <c r="D220" s="63">
        <v>100</v>
      </c>
      <c r="E220" s="65">
        <v>50</v>
      </c>
      <c r="F220" s="100" t="str">
        <f>HYPERLINK("https://yt3.ggpht.com/RNI1CC8VhUmviIGMiPYTOgN-81vyC8mZVuvPTm5FJy6CUyLNGLlC0JlknBydeboDMRWdD4D3xQ=s88-c-k-c0x00ffffff-no-rj")</f>
        <v>https://yt3.ggpht.com/RNI1CC8VhUmviIGMiPYTOgN-81vyC8mZVuvPTm5FJy6CUyLNGLlC0JlknBydeboDMRWdD4D3xQ=s88-c-k-c0x00ffffff-no-rj</v>
      </c>
      <c r="G220" s="62"/>
      <c r="H220" s="66" t="s">
        <v>1262</v>
      </c>
      <c r="I220" s="67"/>
      <c r="J220" s="67" t="s">
        <v>159</v>
      </c>
      <c r="K220" s="66" t="s">
        <v>1262</v>
      </c>
      <c r="L220" s="70"/>
      <c r="M220" s="71">
        <v>9362.427734375</v>
      </c>
      <c r="N220" s="71">
        <v>6547.80078125</v>
      </c>
      <c r="O220" s="72"/>
      <c r="P220" s="73"/>
      <c r="Q220" s="73"/>
      <c r="R220" s="94"/>
      <c r="S220" s="45">
        <v>0</v>
      </c>
      <c r="T220" s="45">
        <v>1</v>
      </c>
      <c r="U220" s="46">
        <v>0</v>
      </c>
      <c r="V220" s="46">
        <v>0.013628</v>
      </c>
      <c r="W220" s="46">
        <v>0</v>
      </c>
      <c r="X220" s="46">
        <v>0.002077</v>
      </c>
      <c r="Y220" s="46">
        <v>0</v>
      </c>
      <c r="Z220" s="46">
        <v>0</v>
      </c>
      <c r="AA220" s="68">
        <v>220</v>
      </c>
      <c r="AB220" s="68"/>
      <c r="AC220" s="69"/>
      <c r="AD220" s="83" t="s">
        <v>1262</v>
      </c>
      <c r="AE220" s="83" t="s">
        <v>2003</v>
      </c>
      <c r="AF220" s="83"/>
      <c r="AG220" s="83"/>
      <c r="AH220" s="83"/>
      <c r="AI220" s="83" t="s">
        <v>2298</v>
      </c>
      <c r="AJ220" s="92">
        <v>41613.85170138889</v>
      </c>
      <c r="AK220" s="89" t="str">
        <f>HYPERLINK("https://yt3.ggpht.com/RNI1CC8VhUmviIGMiPYTOgN-81vyC8mZVuvPTm5FJy6CUyLNGLlC0JlknBydeboDMRWdD4D3xQ=s88-c-k-c0x00ffffff-no-rj")</f>
        <v>https://yt3.ggpht.com/RNI1CC8VhUmviIGMiPYTOgN-81vyC8mZVuvPTm5FJy6CUyLNGLlC0JlknBydeboDMRWdD4D3xQ=s88-c-k-c0x00ffffff-no-rj</v>
      </c>
      <c r="AL220" s="83">
        <v>699954</v>
      </c>
      <c r="AM220" s="83">
        <v>0</v>
      </c>
      <c r="AN220" s="83">
        <v>799</v>
      </c>
      <c r="AO220" s="83" t="b">
        <v>0</v>
      </c>
      <c r="AP220" s="83">
        <v>1590</v>
      </c>
      <c r="AQ220" s="83"/>
      <c r="AR220" s="83"/>
      <c r="AS220" s="83" t="s">
        <v>2744</v>
      </c>
      <c r="AT220" s="89" t="str">
        <f>HYPERLINK("https://www.youtube.com/channel/UCBFJuNuNt0Slz7rIv4EeHxg")</f>
        <v>https://www.youtube.com/channel/UCBFJuNuNt0Slz7rIv4EeHxg</v>
      </c>
      <c r="AU220" s="83" t="str">
        <f>REPLACE(INDEX(GroupVertices[Group],MATCH(Vertices[[#This Row],[Vertex]],GroupVertices[Vertex],0)),1,1,"")</f>
        <v>9</v>
      </c>
      <c r="AV220" s="45"/>
      <c r="AW220" s="46"/>
      <c r="AX220" s="45"/>
      <c r="AY220" s="46"/>
      <c r="AZ220" s="45"/>
      <c r="BA220" s="46"/>
      <c r="BB220" s="45"/>
      <c r="BC220" s="46"/>
      <c r="BD220" s="45"/>
      <c r="BE220" s="110" t="s">
        <v>1874</v>
      </c>
      <c r="BF220" s="110" t="s">
        <v>1874</v>
      </c>
      <c r="BG220" s="110" t="s">
        <v>1874</v>
      </c>
      <c r="BH220" s="110" t="s">
        <v>1874</v>
      </c>
      <c r="BI220" s="2"/>
    </row>
    <row r="221" spans="1:61" ht="15">
      <c r="A221" s="61" t="s">
        <v>425</v>
      </c>
      <c r="B221" s="62" t="s">
        <v>2893</v>
      </c>
      <c r="C221" s="62"/>
      <c r="D221" s="63">
        <v>100</v>
      </c>
      <c r="E221" s="65">
        <v>50</v>
      </c>
      <c r="F221" s="100" t="str">
        <f>HYPERLINK("https://yt3.ggpht.com/ytc/AGIKgqPhXsBQh2OP_YKaX3jyO2K66AmU_-wGoPNPeg=s88-c-k-c0x00ffffff-no-rj")</f>
        <v>https://yt3.ggpht.com/ytc/AGIKgqPhXsBQh2OP_YKaX3jyO2K66AmU_-wGoPNPeg=s88-c-k-c0x00ffffff-no-rj</v>
      </c>
      <c r="G221" s="62"/>
      <c r="H221" s="66" t="s">
        <v>1263</v>
      </c>
      <c r="I221" s="67"/>
      <c r="J221" s="67" t="s">
        <v>159</v>
      </c>
      <c r="K221" s="66" t="s">
        <v>1263</v>
      </c>
      <c r="L221" s="70"/>
      <c r="M221" s="71">
        <v>2610.554443359375</v>
      </c>
      <c r="N221" s="71">
        <v>3767.88134765625</v>
      </c>
      <c r="O221" s="72"/>
      <c r="P221" s="73"/>
      <c r="Q221" s="73"/>
      <c r="R221" s="94"/>
      <c r="S221" s="45">
        <v>0</v>
      </c>
      <c r="T221" s="45">
        <v>1</v>
      </c>
      <c r="U221" s="46">
        <v>0</v>
      </c>
      <c r="V221" s="46">
        <v>0.096339</v>
      </c>
      <c r="W221" s="46">
        <v>3E-06</v>
      </c>
      <c r="X221" s="46">
        <v>0.002054</v>
      </c>
      <c r="Y221" s="46">
        <v>0</v>
      </c>
      <c r="Z221" s="46">
        <v>0</v>
      </c>
      <c r="AA221" s="68">
        <v>221</v>
      </c>
      <c r="AB221" s="68"/>
      <c r="AC221" s="69"/>
      <c r="AD221" s="83" t="s">
        <v>1263</v>
      </c>
      <c r="AE221" s="83"/>
      <c r="AF221" s="83"/>
      <c r="AG221" s="83"/>
      <c r="AH221" s="83"/>
      <c r="AI221" s="83" t="s">
        <v>2299</v>
      </c>
      <c r="AJ221" s="92">
        <v>39083.746157407404</v>
      </c>
      <c r="AK221" s="89" t="str">
        <f>HYPERLINK("https://yt3.ggpht.com/ytc/AGIKgqPhXsBQh2OP_YKaX3jyO2K66AmU_-wGoPNPeg=s88-c-k-c0x00ffffff-no-rj")</f>
        <v>https://yt3.ggpht.com/ytc/AGIKgqPhXsBQh2OP_YKaX3jyO2K66AmU_-wGoPNPeg=s88-c-k-c0x00ffffff-no-rj</v>
      </c>
      <c r="AL221" s="83">
        <v>0</v>
      </c>
      <c r="AM221" s="83">
        <v>0</v>
      </c>
      <c r="AN221" s="83">
        <v>0</v>
      </c>
      <c r="AO221" s="83" t="b">
        <v>0</v>
      </c>
      <c r="AP221" s="83">
        <v>0</v>
      </c>
      <c r="AQ221" s="83"/>
      <c r="AR221" s="83"/>
      <c r="AS221" s="83" t="s">
        <v>2744</v>
      </c>
      <c r="AT221" s="89" t="str">
        <f>HYPERLINK("https://www.youtube.com/channel/UChhnlW9OkCjdinvmKgxt7sg")</f>
        <v>https://www.youtube.com/channel/UChhnlW9OkCjdinvmKgxt7sg</v>
      </c>
      <c r="AU221" s="83" t="str">
        <f>REPLACE(INDEX(GroupVertices[Group],MATCH(Vertices[[#This Row],[Vertex]],GroupVertices[Vertex],0)),1,1,"")</f>
        <v>2</v>
      </c>
      <c r="AV221" s="45"/>
      <c r="AW221" s="46"/>
      <c r="AX221" s="45"/>
      <c r="AY221" s="46"/>
      <c r="AZ221" s="45"/>
      <c r="BA221" s="46"/>
      <c r="BB221" s="45"/>
      <c r="BC221" s="46"/>
      <c r="BD221" s="45"/>
      <c r="BE221" s="110" t="s">
        <v>1874</v>
      </c>
      <c r="BF221" s="110" t="s">
        <v>1874</v>
      </c>
      <c r="BG221" s="110" t="s">
        <v>1874</v>
      </c>
      <c r="BH221" s="110" t="s">
        <v>1874</v>
      </c>
      <c r="BI221" s="2"/>
    </row>
    <row r="222" spans="1:61" ht="15">
      <c r="A222" s="61" t="s">
        <v>650</v>
      </c>
      <c r="B222" s="62" t="s">
        <v>2893</v>
      </c>
      <c r="C222" s="62"/>
      <c r="D222" s="63">
        <v>830.6930693069307</v>
      </c>
      <c r="E222" s="65">
        <v>100</v>
      </c>
      <c r="F222" s="100" t="str">
        <f>HYPERLINK("https://yt3.ggpht.com/ytc/AGIKgqOxb87k6X0hm3DLatvook3mfcQx2UJiWQteH_k43w=s88-c-k-c0x00ffffff-no-rj")</f>
        <v>https://yt3.ggpht.com/ytc/AGIKgqOxb87k6X0hm3DLatvook3mfcQx2UJiWQteH_k43w=s88-c-k-c0x00ffffff-no-rj</v>
      </c>
      <c r="G222" s="62"/>
      <c r="H222" s="66" t="s">
        <v>1903</v>
      </c>
      <c r="I222" s="67"/>
      <c r="J222" s="67" t="s">
        <v>75</v>
      </c>
      <c r="K222" s="66" t="s">
        <v>1903</v>
      </c>
      <c r="L222" s="70"/>
      <c r="M222" s="71">
        <v>2911.94287109375</v>
      </c>
      <c r="N222" s="71">
        <v>9404.958984375</v>
      </c>
      <c r="O222" s="72"/>
      <c r="P222" s="73"/>
      <c r="Q222" s="73"/>
      <c r="R222" s="94"/>
      <c r="S222" s="45">
        <v>82</v>
      </c>
      <c r="T222" s="45">
        <v>1</v>
      </c>
      <c r="U222" s="46">
        <v>6480</v>
      </c>
      <c r="V222" s="46">
        <v>0.191489</v>
      </c>
      <c r="W222" s="46">
        <v>3E-05</v>
      </c>
      <c r="X222" s="46">
        <v>0.027012</v>
      </c>
      <c r="Y222" s="46">
        <v>0</v>
      </c>
      <c r="Z222" s="46">
        <v>0</v>
      </c>
      <c r="AA222" s="68">
        <v>222</v>
      </c>
      <c r="AB222" s="68"/>
      <c r="AC222" s="69"/>
      <c r="AD222" s="83" t="s">
        <v>1903</v>
      </c>
      <c r="AE222" s="83" t="s">
        <v>2004</v>
      </c>
      <c r="AF222" s="83"/>
      <c r="AG222" s="83"/>
      <c r="AH222" s="83"/>
      <c r="AI222" s="83" t="s">
        <v>2300</v>
      </c>
      <c r="AJ222" s="92">
        <v>43897.555659722224</v>
      </c>
      <c r="AK222" s="89" t="str">
        <f>HYPERLINK("https://yt3.ggpht.com/ytc/AGIKgqOxb87k6X0hm3DLatvook3mfcQx2UJiWQteH_k43w=s88-c-k-c0x00ffffff-no-rj")</f>
        <v>https://yt3.ggpht.com/ytc/AGIKgqOxb87k6X0hm3DLatvook3mfcQx2UJiWQteH_k43w=s88-c-k-c0x00ffffff-no-rj</v>
      </c>
      <c r="AL222" s="83">
        <v>15125102</v>
      </c>
      <c r="AM222" s="83">
        <v>0</v>
      </c>
      <c r="AN222" s="83">
        <v>89900</v>
      </c>
      <c r="AO222" s="83" t="b">
        <v>0</v>
      </c>
      <c r="AP222" s="83">
        <v>701</v>
      </c>
      <c r="AQ222" s="83"/>
      <c r="AR222" s="83"/>
      <c r="AS222" s="83" t="s">
        <v>2744</v>
      </c>
      <c r="AT222" s="89" t="str">
        <f>HYPERLINK("https://www.youtube.com/channel/UCO5Jeark1e_JP36mY3ua19g")</f>
        <v>https://www.youtube.com/channel/UCO5Jeark1e_JP36mY3ua19g</v>
      </c>
      <c r="AU222" s="83" t="str">
        <f>REPLACE(INDEX(GroupVertices[Group],MATCH(Vertices[[#This Row],[Vertex]],GroupVertices[Vertex],0)),1,1,"")</f>
        <v>2</v>
      </c>
      <c r="AV222" s="45"/>
      <c r="AW222" s="46"/>
      <c r="AX222" s="45"/>
      <c r="AY222" s="46"/>
      <c r="AZ222" s="45"/>
      <c r="BA222" s="46"/>
      <c r="BB222" s="45"/>
      <c r="BC222" s="46"/>
      <c r="BD222" s="45"/>
      <c r="BE222" s="110" t="s">
        <v>1874</v>
      </c>
      <c r="BF222" s="110" t="s">
        <v>1874</v>
      </c>
      <c r="BG222" s="110" t="s">
        <v>1874</v>
      </c>
      <c r="BH222" s="110" t="s">
        <v>1874</v>
      </c>
      <c r="BI222" s="2"/>
    </row>
    <row r="223" spans="1:61" ht="15">
      <c r="A223" s="61" t="s">
        <v>426</v>
      </c>
      <c r="B223" s="62" t="s">
        <v>2893</v>
      </c>
      <c r="C223" s="62"/>
      <c r="D223" s="63">
        <v>100</v>
      </c>
      <c r="E223" s="65">
        <v>50</v>
      </c>
      <c r="F223" s="100" t="str">
        <f>HYPERLINK("https://yt3.ggpht.com/ytc/AGIKgqPwmMiZy1LwY7baA3grIOFdY9ZjsmdWNxmlgw=s88-c-k-c0x00ffffff-no-rj")</f>
        <v>https://yt3.ggpht.com/ytc/AGIKgqPwmMiZy1LwY7baA3grIOFdY9ZjsmdWNxmlgw=s88-c-k-c0x00ffffff-no-rj</v>
      </c>
      <c r="G223" s="62"/>
      <c r="H223" s="66" t="s">
        <v>1264</v>
      </c>
      <c r="I223" s="67"/>
      <c r="J223" s="67" t="s">
        <v>159</v>
      </c>
      <c r="K223" s="66" t="s">
        <v>1264</v>
      </c>
      <c r="L223" s="70"/>
      <c r="M223" s="71">
        <v>5021.6611328125</v>
      </c>
      <c r="N223" s="71">
        <v>4394.22314453125</v>
      </c>
      <c r="O223" s="72"/>
      <c r="P223" s="73"/>
      <c r="Q223" s="73"/>
      <c r="R223" s="94"/>
      <c r="S223" s="45">
        <v>0</v>
      </c>
      <c r="T223" s="45">
        <v>1</v>
      </c>
      <c r="U223" s="46">
        <v>0</v>
      </c>
      <c r="V223" s="46">
        <v>0.096339</v>
      </c>
      <c r="W223" s="46">
        <v>3E-06</v>
      </c>
      <c r="X223" s="46">
        <v>0.002054</v>
      </c>
      <c r="Y223" s="46">
        <v>0</v>
      </c>
      <c r="Z223" s="46">
        <v>0</v>
      </c>
      <c r="AA223" s="68">
        <v>223</v>
      </c>
      <c r="AB223" s="68"/>
      <c r="AC223" s="69"/>
      <c r="AD223" s="83" t="s">
        <v>1264</v>
      </c>
      <c r="AE223" s="83"/>
      <c r="AF223" s="83"/>
      <c r="AG223" s="83"/>
      <c r="AH223" s="83"/>
      <c r="AI223" s="83" t="s">
        <v>2301</v>
      </c>
      <c r="AJ223" s="92">
        <v>44082.997453703705</v>
      </c>
      <c r="AK223" s="89" t="str">
        <f>HYPERLINK("https://yt3.ggpht.com/ytc/AGIKgqPwmMiZy1LwY7baA3grIOFdY9ZjsmdWNxmlgw=s88-c-k-c0x00ffffff-no-rj")</f>
        <v>https://yt3.ggpht.com/ytc/AGIKgqPwmMiZy1LwY7baA3grIOFdY9ZjsmdWNxmlgw=s88-c-k-c0x00ffffff-no-rj</v>
      </c>
      <c r="AL223" s="83">
        <v>0</v>
      </c>
      <c r="AM223" s="83">
        <v>0</v>
      </c>
      <c r="AN223" s="83">
        <v>4</v>
      </c>
      <c r="AO223" s="83" t="b">
        <v>0</v>
      </c>
      <c r="AP223" s="83">
        <v>0</v>
      </c>
      <c r="AQ223" s="83"/>
      <c r="AR223" s="83"/>
      <c r="AS223" s="83" t="s">
        <v>2744</v>
      </c>
      <c r="AT223" s="89" t="str">
        <f>HYPERLINK("https://www.youtube.com/channel/UC1Tq0qhsWTNePsMJeKVuPZA")</f>
        <v>https://www.youtube.com/channel/UC1Tq0qhsWTNePsMJeKVuPZA</v>
      </c>
      <c r="AU223" s="83" t="str">
        <f>REPLACE(INDEX(GroupVertices[Group],MATCH(Vertices[[#This Row],[Vertex]],GroupVertices[Vertex],0)),1,1,"")</f>
        <v>2</v>
      </c>
      <c r="AV223" s="45"/>
      <c r="AW223" s="46"/>
      <c r="AX223" s="45"/>
      <c r="AY223" s="46"/>
      <c r="AZ223" s="45"/>
      <c r="BA223" s="46"/>
      <c r="BB223" s="45"/>
      <c r="BC223" s="46"/>
      <c r="BD223" s="45"/>
      <c r="BE223" s="110" t="s">
        <v>1874</v>
      </c>
      <c r="BF223" s="110" t="s">
        <v>1874</v>
      </c>
      <c r="BG223" s="110" t="s">
        <v>1874</v>
      </c>
      <c r="BH223" s="110" t="s">
        <v>1874</v>
      </c>
      <c r="BI223" s="2"/>
    </row>
    <row r="224" spans="1:61" ht="15">
      <c r="A224" s="61" t="s">
        <v>427</v>
      </c>
      <c r="B224" s="62" t="s">
        <v>2893</v>
      </c>
      <c r="C224" s="62"/>
      <c r="D224" s="63">
        <v>100</v>
      </c>
      <c r="E224" s="65">
        <v>50</v>
      </c>
      <c r="F224" s="100" t="str">
        <f>HYPERLINK("https://yt3.ggpht.com/ytc/AGIKgqNIe46sYm4a56X1fk7dCS2hxPMsW93Sw4qrNA=s88-c-k-c0x00ffffff-no-rj")</f>
        <v>https://yt3.ggpht.com/ytc/AGIKgqNIe46sYm4a56X1fk7dCS2hxPMsW93Sw4qrNA=s88-c-k-c0x00ffffff-no-rj</v>
      </c>
      <c r="G224" s="62"/>
      <c r="H224" s="66" t="s">
        <v>1265</v>
      </c>
      <c r="I224" s="67"/>
      <c r="J224" s="67" t="s">
        <v>159</v>
      </c>
      <c r="K224" s="66" t="s">
        <v>1265</v>
      </c>
      <c r="L224" s="70"/>
      <c r="M224" s="71">
        <v>4720.2724609375</v>
      </c>
      <c r="N224" s="71">
        <v>4394.22314453125</v>
      </c>
      <c r="O224" s="72"/>
      <c r="P224" s="73"/>
      <c r="Q224" s="73"/>
      <c r="R224" s="94"/>
      <c r="S224" s="45">
        <v>0</v>
      </c>
      <c r="T224" s="45">
        <v>1</v>
      </c>
      <c r="U224" s="46">
        <v>0</v>
      </c>
      <c r="V224" s="46">
        <v>0.096339</v>
      </c>
      <c r="W224" s="46">
        <v>3E-06</v>
      </c>
      <c r="X224" s="46">
        <v>0.002054</v>
      </c>
      <c r="Y224" s="46">
        <v>0</v>
      </c>
      <c r="Z224" s="46">
        <v>0</v>
      </c>
      <c r="AA224" s="68">
        <v>224</v>
      </c>
      <c r="AB224" s="68"/>
      <c r="AC224" s="69"/>
      <c r="AD224" s="83" t="s">
        <v>1265</v>
      </c>
      <c r="AE224" s="83"/>
      <c r="AF224" s="83"/>
      <c r="AG224" s="83"/>
      <c r="AH224" s="83"/>
      <c r="AI224" s="83" t="s">
        <v>2302</v>
      </c>
      <c r="AJ224" s="92">
        <v>40951.27395833333</v>
      </c>
      <c r="AK224" s="89" t="str">
        <f>HYPERLINK("https://yt3.ggpht.com/ytc/AGIKgqNIe46sYm4a56X1fk7dCS2hxPMsW93Sw4qrNA=s88-c-k-c0x00ffffff-no-rj")</f>
        <v>https://yt3.ggpht.com/ytc/AGIKgqNIe46sYm4a56X1fk7dCS2hxPMsW93Sw4qrNA=s88-c-k-c0x00ffffff-no-rj</v>
      </c>
      <c r="AL224" s="83">
        <v>341</v>
      </c>
      <c r="AM224" s="83">
        <v>0</v>
      </c>
      <c r="AN224" s="83">
        <v>9</v>
      </c>
      <c r="AO224" s="83" t="b">
        <v>0</v>
      </c>
      <c r="AP224" s="83">
        <v>71</v>
      </c>
      <c r="AQ224" s="83"/>
      <c r="AR224" s="83"/>
      <c r="AS224" s="83" t="s">
        <v>2744</v>
      </c>
      <c r="AT224" s="89" t="str">
        <f>HYPERLINK("https://www.youtube.com/channel/UCpO_ZS7vVPS2MsFgySn5LRQ")</f>
        <v>https://www.youtube.com/channel/UCpO_ZS7vVPS2MsFgySn5LRQ</v>
      </c>
      <c r="AU224" s="83" t="str">
        <f>REPLACE(INDEX(GroupVertices[Group],MATCH(Vertices[[#This Row],[Vertex]],GroupVertices[Vertex],0)),1,1,"")</f>
        <v>2</v>
      </c>
      <c r="AV224" s="45"/>
      <c r="AW224" s="46"/>
      <c r="AX224" s="45"/>
      <c r="AY224" s="46"/>
      <c r="AZ224" s="45"/>
      <c r="BA224" s="46"/>
      <c r="BB224" s="45"/>
      <c r="BC224" s="46"/>
      <c r="BD224" s="45"/>
      <c r="BE224" s="110" t="s">
        <v>1874</v>
      </c>
      <c r="BF224" s="110" t="s">
        <v>1874</v>
      </c>
      <c r="BG224" s="110" t="s">
        <v>1874</v>
      </c>
      <c r="BH224" s="110" t="s">
        <v>1874</v>
      </c>
      <c r="BI224" s="2"/>
    </row>
    <row r="225" spans="1:61" ht="15">
      <c r="A225" s="61" t="s">
        <v>428</v>
      </c>
      <c r="B225" s="62" t="s">
        <v>2893</v>
      </c>
      <c r="C225" s="62"/>
      <c r="D225" s="63">
        <v>100</v>
      </c>
      <c r="E225" s="65">
        <v>50</v>
      </c>
      <c r="F225" s="100" t="str">
        <f>HYPERLINK("https://yt3.ggpht.com/ytc/AGIKgqNwiVaWjo7-uMugeE1Mi2XZ6AjfNxi_zzYP8UXM6Q=s88-c-k-c0x00ffffff-no-rj")</f>
        <v>https://yt3.ggpht.com/ytc/AGIKgqNwiVaWjo7-uMugeE1Mi2XZ6AjfNxi_zzYP8UXM6Q=s88-c-k-c0x00ffffff-no-rj</v>
      </c>
      <c r="G225" s="62"/>
      <c r="H225" s="66" t="s">
        <v>1266</v>
      </c>
      <c r="I225" s="67"/>
      <c r="J225" s="67" t="s">
        <v>159</v>
      </c>
      <c r="K225" s="66" t="s">
        <v>1266</v>
      </c>
      <c r="L225" s="70"/>
      <c r="M225" s="71">
        <v>4418.88427734375</v>
      </c>
      <c r="N225" s="71">
        <v>4394.22314453125</v>
      </c>
      <c r="O225" s="72"/>
      <c r="P225" s="73"/>
      <c r="Q225" s="73"/>
      <c r="R225" s="94"/>
      <c r="S225" s="45">
        <v>0</v>
      </c>
      <c r="T225" s="45">
        <v>1</v>
      </c>
      <c r="U225" s="46">
        <v>0</v>
      </c>
      <c r="V225" s="46">
        <v>0.096339</v>
      </c>
      <c r="W225" s="46">
        <v>3E-06</v>
      </c>
      <c r="X225" s="46">
        <v>0.002054</v>
      </c>
      <c r="Y225" s="46">
        <v>0</v>
      </c>
      <c r="Z225" s="46">
        <v>0</v>
      </c>
      <c r="AA225" s="68">
        <v>225</v>
      </c>
      <c r="AB225" s="68"/>
      <c r="AC225" s="69"/>
      <c r="AD225" s="83" t="s">
        <v>1266</v>
      </c>
      <c r="AE225" s="83"/>
      <c r="AF225" s="83"/>
      <c r="AG225" s="83"/>
      <c r="AH225" s="83"/>
      <c r="AI225" s="83" t="s">
        <v>2303</v>
      </c>
      <c r="AJ225" s="83" t="s">
        <v>2629</v>
      </c>
      <c r="AK225" s="89" t="str">
        <f>HYPERLINK("https://yt3.ggpht.com/ytc/AGIKgqNwiVaWjo7-uMugeE1Mi2XZ6AjfNxi_zzYP8UXM6Q=s88-c-k-c0x00ffffff-no-rj")</f>
        <v>https://yt3.ggpht.com/ytc/AGIKgqNwiVaWjo7-uMugeE1Mi2XZ6AjfNxi_zzYP8UXM6Q=s88-c-k-c0x00ffffff-no-rj</v>
      </c>
      <c r="AL225" s="83">
        <v>0</v>
      </c>
      <c r="AM225" s="83">
        <v>0</v>
      </c>
      <c r="AN225" s="83">
        <v>0</v>
      </c>
      <c r="AO225" s="83" t="b">
        <v>0</v>
      </c>
      <c r="AP225" s="83">
        <v>0</v>
      </c>
      <c r="AQ225" s="83"/>
      <c r="AR225" s="83"/>
      <c r="AS225" s="83" t="s">
        <v>2744</v>
      </c>
      <c r="AT225" s="89" t="str">
        <f>HYPERLINK("https://www.youtube.com/channel/UCNu2EinLOnfvasdXkbv6n4w")</f>
        <v>https://www.youtube.com/channel/UCNu2EinLOnfvasdXkbv6n4w</v>
      </c>
      <c r="AU225" s="83" t="str">
        <f>REPLACE(INDEX(GroupVertices[Group],MATCH(Vertices[[#This Row],[Vertex]],GroupVertices[Vertex],0)),1,1,"")</f>
        <v>2</v>
      </c>
      <c r="AV225" s="45"/>
      <c r="AW225" s="46"/>
      <c r="AX225" s="45"/>
      <c r="AY225" s="46"/>
      <c r="AZ225" s="45"/>
      <c r="BA225" s="46"/>
      <c r="BB225" s="45"/>
      <c r="BC225" s="46"/>
      <c r="BD225" s="45"/>
      <c r="BE225" s="110" t="s">
        <v>1874</v>
      </c>
      <c r="BF225" s="110" t="s">
        <v>1874</v>
      </c>
      <c r="BG225" s="110" t="s">
        <v>1874</v>
      </c>
      <c r="BH225" s="110" t="s">
        <v>1874</v>
      </c>
      <c r="BI225" s="2"/>
    </row>
    <row r="226" spans="1:61" ht="15">
      <c r="A226" s="61" t="s">
        <v>429</v>
      </c>
      <c r="B226" s="62" t="s">
        <v>2893</v>
      </c>
      <c r="C226" s="62"/>
      <c r="D226" s="63">
        <v>100</v>
      </c>
      <c r="E226" s="65">
        <v>50</v>
      </c>
      <c r="F226" s="100" t="str">
        <f>HYPERLINK("https://yt3.ggpht.com/nI0PQuRQPHWGHAAT_kPDLH8l8EB0kGDAB7afatc0V2cR9GVdL3OQhbBtTZBOKjQPsmqRi9YmcQ=s88-c-k-c0x00ffffff-no-rj")</f>
        <v>https://yt3.ggpht.com/nI0PQuRQPHWGHAAT_kPDLH8l8EB0kGDAB7afatc0V2cR9GVdL3OQhbBtTZBOKjQPsmqRi9YmcQ=s88-c-k-c0x00ffffff-no-rj</v>
      </c>
      <c r="G226" s="62"/>
      <c r="H226" s="66" t="s">
        <v>1267</v>
      </c>
      <c r="I226" s="67"/>
      <c r="J226" s="67" t="s">
        <v>159</v>
      </c>
      <c r="K226" s="66" t="s">
        <v>1267</v>
      </c>
      <c r="L226" s="70"/>
      <c r="M226" s="71">
        <v>4117.49609375</v>
      </c>
      <c r="N226" s="71">
        <v>4394.22314453125</v>
      </c>
      <c r="O226" s="72"/>
      <c r="P226" s="73"/>
      <c r="Q226" s="73"/>
      <c r="R226" s="94"/>
      <c r="S226" s="45">
        <v>0</v>
      </c>
      <c r="T226" s="45">
        <v>1</v>
      </c>
      <c r="U226" s="46">
        <v>0</v>
      </c>
      <c r="V226" s="46">
        <v>0.096339</v>
      </c>
      <c r="W226" s="46">
        <v>3E-06</v>
      </c>
      <c r="X226" s="46">
        <v>0.002054</v>
      </c>
      <c r="Y226" s="46">
        <v>0</v>
      </c>
      <c r="Z226" s="46">
        <v>0</v>
      </c>
      <c r="AA226" s="68">
        <v>226</v>
      </c>
      <c r="AB226" s="68"/>
      <c r="AC226" s="69"/>
      <c r="AD226" s="83" t="s">
        <v>1267</v>
      </c>
      <c r="AE226" s="83"/>
      <c r="AF226" s="83"/>
      <c r="AG226" s="83"/>
      <c r="AH226" s="83"/>
      <c r="AI226" s="83" t="s">
        <v>2304</v>
      </c>
      <c r="AJ226" s="83" t="s">
        <v>2630</v>
      </c>
      <c r="AK226" s="89" t="str">
        <f>HYPERLINK("https://yt3.ggpht.com/nI0PQuRQPHWGHAAT_kPDLH8l8EB0kGDAB7afatc0V2cR9GVdL3OQhbBtTZBOKjQPsmqRi9YmcQ=s88-c-k-c0x00ffffff-no-rj")</f>
        <v>https://yt3.ggpht.com/nI0PQuRQPHWGHAAT_kPDLH8l8EB0kGDAB7afatc0V2cR9GVdL3OQhbBtTZBOKjQPsmqRi9YmcQ=s88-c-k-c0x00ffffff-no-rj</v>
      </c>
      <c r="AL226" s="83">
        <v>0</v>
      </c>
      <c r="AM226" s="83">
        <v>0</v>
      </c>
      <c r="AN226" s="83">
        <v>1</v>
      </c>
      <c r="AO226" s="83" t="b">
        <v>0</v>
      </c>
      <c r="AP226" s="83">
        <v>0</v>
      </c>
      <c r="AQ226" s="83"/>
      <c r="AR226" s="83"/>
      <c r="AS226" s="83" t="s">
        <v>2744</v>
      </c>
      <c r="AT226" s="89" t="str">
        <f>HYPERLINK("https://www.youtube.com/channel/UCV39ok_BIsRoWbqdTRsi84w")</f>
        <v>https://www.youtube.com/channel/UCV39ok_BIsRoWbqdTRsi84w</v>
      </c>
      <c r="AU226" s="83" t="str">
        <f>REPLACE(INDEX(GroupVertices[Group],MATCH(Vertices[[#This Row],[Vertex]],GroupVertices[Vertex],0)),1,1,"")</f>
        <v>2</v>
      </c>
      <c r="AV226" s="45"/>
      <c r="AW226" s="46"/>
      <c r="AX226" s="45"/>
      <c r="AY226" s="46"/>
      <c r="AZ226" s="45"/>
      <c r="BA226" s="46"/>
      <c r="BB226" s="45"/>
      <c r="BC226" s="46"/>
      <c r="BD226" s="45"/>
      <c r="BE226" s="110" t="s">
        <v>1874</v>
      </c>
      <c r="BF226" s="110" t="s">
        <v>1874</v>
      </c>
      <c r="BG226" s="110" t="s">
        <v>1874</v>
      </c>
      <c r="BH226" s="110" t="s">
        <v>1874</v>
      </c>
      <c r="BI226" s="2"/>
    </row>
    <row r="227" spans="1:61" ht="15">
      <c r="A227" s="61" t="s">
        <v>430</v>
      </c>
      <c r="B227" s="62" t="s">
        <v>2893</v>
      </c>
      <c r="C227" s="62"/>
      <c r="D227" s="63">
        <v>100</v>
      </c>
      <c r="E227" s="65">
        <v>50</v>
      </c>
      <c r="F227" s="100" t="str">
        <f>HYPERLINK("https://yt3.ggpht.com/ytc/AGIKgqNp5AIjk8X6xtqNEnEJtA_xs3TwcrZqsjAvjA=s88-c-k-c0x00ffffff-no-rj")</f>
        <v>https://yt3.ggpht.com/ytc/AGIKgqNp5AIjk8X6xtqNEnEJtA_xs3TwcrZqsjAvjA=s88-c-k-c0x00ffffff-no-rj</v>
      </c>
      <c r="G227" s="62"/>
      <c r="H227" s="66" t="s">
        <v>1268</v>
      </c>
      <c r="I227" s="67"/>
      <c r="J227" s="67" t="s">
        <v>159</v>
      </c>
      <c r="K227" s="66" t="s">
        <v>1268</v>
      </c>
      <c r="L227" s="70"/>
      <c r="M227" s="71">
        <v>3816.107666015625</v>
      </c>
      <c r="N227" s="71">
        <v>4394.22314453125</v>
      </c>
      <c r="O227" s="72"/>
      <c r="P227" s="73"/>
      <c r="Q227" s="73"/>
      <c r="R227" s="94"/>
      <c r="S227" s="45">
        <v>0</v>
      </c>
      <c r="T227" s="45">
        <v>1</v>
      </c>
      <c r="U227" s="46">
        <v>0</v>
      </c>
      <c r="V227" s="46">
        <v>0.096339</v>
      </c>
      <c r="W227" s="46">
        <v>3E-06</v>
      </c>
      <c r="X227" s="46">
        <v>0.002054</v>
      </c>
      <c r="Y227" s="46">
        <v>0</v>
      </c>
      <c r="Z227" s="46">
        <v>0</v>
      </c>
      <c r="AA227" s="68">
        <v>227</v>
      </c>
      <c r="AB227" s="68"/>
      <c r="AC227" s="69"/>
      <c r="AD227" s="83" t="s">
        <v>1268</v>
      </c>
      <c r="AE227" s="83"/>
      <c r="AF227" s="83"/>
      <c r="AG227" s="83"/>
      <c r="AH227" s="83"/>
      <c r="AI227" s="83" t="s">
        <v>2305</v>
      </c>
      <c r="AJ227" s="83" t="s">
        <v>2631</v>
      </c>
      <c r="AK227" s="89" t="str">
        <f>HYPERLINK("https://yt3.ggpht.com/ytc/AGIKgqNp5AIjk8X6xtqNEnEJtA_xs3TwcrZqsjAvjA=s88-c-k-c0x00ffffff-no-rj")</f>
        <v>https://yt3.ggpht.com/ytc/AGIKgqNp5AIjk8X6xtqNEnEJtA_xs3TwcrZqsjAvjA=s88-c-k-c0x00ffffff-no-rj</v>
      </c>
      <c r="AL227" s="83">
        <v>0</v>
      </c>
      <c r="AM227" s="83">
        <v>0</v>
      </c>
      <c r="AN227" s="83">
        <v>5</v>
      </c>
      <c r="AO227" s="83" t="b">
        <v>0</v>
      </c>
      <c r="AP227" s="83">
        <v>0</v>
      </c>
      <c r="AQ227" s="83"/>
      <c r="AR227" s="83"/>
      <c r="AS227" s="83" t="s">
        <v>2744</v>
      </c>
      <c r="AT227" s="89" t="str">
        <f>HYPERLINK("https://www.youtube.com/channel/UCsCNgXBYEKEfv5id6XM0DaQ")</f>
        <v>https://www.youtube.com/channel/UCsCNgXBYEKEfv5id6XM0DaQ</v>
      </c>
      <c r="AU227" s="83" t="str">
        <f>REPLACE(INDEX(GroupVertices[Group],MATCH(Vertices[[#This Row],[Vertex]],GroupVertices[Vertex],0)),1,1,"")</f>
        <v>2</v>
      </c>
      <c r="AV227" s="45"/>
      <c r="AW227" s="46"/>
      <c r="AX227" s="45"/>
      <c r="AY227" s="46"/>
      <c r="AZ227" s="45"/>
      <c r="BA227" s="46"/>
      <c r="BB227" s="45"/>
      <c r="BC227" s="46"/>
      <c r="BD227" s="45"/>
      <c r="BE227" s="110" t="s">
        <v>1874</v>
      </c>
      <c r="BF227" s="110" t="s">
        <v>1874</v>
      </c>
      <c r="BG227" s="110" t="s">
        <v>1874</v>
      </c>
      <c r="BH227" s="110" t="s">
        <v>1874</v>
      </c>
      <c r="BI227" s="2"/>
    </row>
    <row r="228" spans="1:61" ht="15">
      <c r="A228" s="61" t="s">
        <v>431</v>
      </c>
      <c r="B228" s="62" t="s">
        <v>2893</v>
      </c>
      <c r="C228" s="62"/>
      <c r="D228" s="63">
        <v>100</v>
      </c>
      <c r="E228" s="65">
        <v>50</v>
      </c>
      <c r="F228" s="100" t="str">
        <f>HYPERLINK("https://yt3.ggpht.com/ytc/AGIKgqNsXeD-XjO6BYaDl9qNqRUwC1jgUSrnUxofhw=s88-c-k-c0x00ffffff-no-rj")</f>
        <v>https://yt3.ggpht.com/ytc/AGIKgqNsXeD-XjO6BYaDl9qNqRUwC1jgUSrnUxofhw=s88-c-k-c0x00ffffff-no-rj</v>
      </c>
      <c r="G228" s="62"/>
      <c r="H228" s="66" t="s">
        <v>1269</v>
      </c>
      <c r="I228" s="67"/>
      <c r="J228" s="67" t="s">
        <v>159</v>
      </c>
      <c r="K228" s="66" t="s">
        <v>1269</v>
      </c>
      <c r="L228" s="70"/>
      <c r="M228" s="71">
        <v>3514.719482421875</v>
      </c>
      <c r="N228" s="71">
        <v>4394.22314453125</v>
      </c>
      <c r="O228" s="72"/>
      <c r="P228" s="73"/>
      <c r="Q228" s="73"/>
      <c r="R228" s="94"/>
      <c r="S228" s="45">
        <v>0</v>
      </c>
      <c r="T228" s="45">
        <v>1</v>
      </c>
      <c r="U228" s="46">
        <v>0</v>
      </c>
      <c r="V228" s="46">
        <v>0.096339</v>
      </c>
      <c r="W228" s="46">
        <v>3E-06</v>
      </c>
      <c r="X228" s="46">
        <v>0.002054</v>
      </c>
      <c r="Y228" s="46">
        <v>0</v>
      </c>
      <c r="Z228" s="46">
        <v>0</v>
      </c>
      <c r="AA228" s="68">
        <v>228</v>
      </c>
      <c r="AB228" s="68"/>
      <c r="AC228" s="69"/>
      <c r="AD228" s="83" t="s">
        <v>1269</v>
      </c>
      <c r="AE228" s="83"/>
      <c r="AF228" s="83"/>
      <c r="AG228" s="83"/>
      <c r="AH228" s="83"/>
      <c r="AI228" s="83" t="s">
        <v>2306</v>
      </c>
      <c r="AJ228" s="92">
        <v>43320.83724537037</v>
      </c>
      <c r="AK228" s="89" t="str">
        <f>HYPERLINK("https://yt3.ggpht.com/ytc/AGIKgqNsXeD-XjO6BYaDl9qNqRUwC1jgUSrnUxofhw=s88-c-k-c0x00ffffff-no-rj")</f>
        <v>https://yt3.ggpht.com/ytc/AGIKgqNsXeD-XjO6BYaDl9qNqRUwC1jgUSrnUxofhw=s88-c-k-c0x00ffffff-no-rj</v>
      </c>
      <c r="AL228" s="83">
        <v>0</v>
      </c>
      <c r="AM228" s="83">
        <v>0</v>
      </c>
      <c r="AN228" s="83">
        <v>6</v>
      </c>
      <c r="AO228" s="83" t="b">
        <v>0</v>
      </c>
      <c r="AP228" s="83">
        <v>0</v>
      </c>
      <c r="AQ228" s="83"/>
      <c r="AR228" s="83"/>
      <c r="AS228" s="83" t="s">
        <v>2744</v>
      </c>
      <c r="AT228" s="89" t="str">
        <f>HYPERLINK("https://www.youtube.com/channel/UC5tdeIiQq5xKKENaCw8Fung")</f>
        <v>https://www.youtube.com/channel/UC5tdeIiQq5xKKENaCw8Fung</v>
      </c>
      <c r="AU228" s="83" t="str">
        <f>REPLACE(INDEX(GroupVertices[Group],MATCH(Vertices[[#This Row],[Vertex]],GroupVertices[Vertex],0)),1,1,"")</f>
        <v>2</v>
      </c>
      <c r="AV228" s="45"/>
      <c r="AW228" s="46"/>
      <c r="AX228" s="45"/>
      <c r="AY228" s="46"/>
      <c r="AZ228" s="45"/>
      <c r="BA228" s="46"/>
      <c r="BB228" s="45"/>
      <c r="BC228" s="46"/>
      <c r="BD228" s="45"/>
      <c r="BE228" s="110" t="s">
        <v>1874</v>
      </c>
      <c r="BF228" s="110" t="s">
        <v>1874</v>
      </c>
      <c r="BG228" s="110" t="s">
        <v>1874</v>
      </c>
      <c r="BH228" s="110" t="s">
        <v>1874</v>
      </c>
      <c r="BI228" s="2"/>
    </row>
    <row r="229" spans="1:61" ht="15">
      <c r="A229" s="61" t="s">
        <v>432</v>
      </c>
      <c r="B229" s="62" t="s">
        <v>2893</v>
      </c>
      <c r="C229" s="62"/>
      <c r="D229" s="63">
        <v>100</v>
      </c>
      <c r="E229" s="65">
        <v>50</v>
      </c>
      <c r="F229" s="100" t="str">
        <f>HYPERLINK("https://yt3.ggpht.com/ytc/AGIKgqPBVBtlVuQ8P1_JHZXIZaUOlbalksmNrOsOTPmP=s88-c-k-c0x00ffffff-no-rj")</f>
        <v>https://yt3.ggpht.com/ytc/AGIKgqPBVBtlVuQ8P1_JHZXIZaUOlbalksmNrOsOTPmP=s88-c-k-c0x00ffffff-no-rj</v>
      </c>
      <c r="G229" s="62"/>
      <c r="H229" s="66" t="s">
        <v>1270</v>
      </c>
      <c r="I229" s="67"/>
      <c r="J229" s="67" t="s">
        <v>159</v>
      </c>
      <c r="K229" s="66" t="s">
        <v>1270</v>
      </c>
      <c r="L229" s="70"/>
      <c r="M229" s="71">
        <v>3213.3310546875</v>
      </c>
      <c r="N229" s="71">
        <v>4394.22314453125</v>
      </c>
      <c r="O229" s="72"/>
      <c r="P229" s="73"/>
      <c r="Q229" s="73"/>
      <c r="R229" s="94"/>
      <c r="S229" s="45">
        <v>0</v>
      </c>
      <c r="T229" s="45">
        <v>1</v>
      </c>
      <c r="U229" s="46">
        <v>0</v>
      </c>
      <c r="V229" s="46">
        <v>0.096339</v>
      </c>
      <c r="W229" s="46">
        <v>3E-06</v>
      </c>
      <c r="X229" s="46">
        <v>0.002054</v>
      </c>
      <c r="Y229" s="46">
        <v>0</v>
      </c>
      <c r="Z229" s="46">
        <v>0</v>
      </c>
      <c r="AA229" s="68">
        <v>229</v>
      </c>
      <c r="AB229" s="68"/>
      <c r="AC229" s="69"/>
      <c r="AD229" s="83" t="s">
        <v>1270</v>
      </c>
      <c r="AE229" s="83"/>
      <c r="AF229" s="83"/>
      <c r="AG229" s="83"/>
      <c r="AH229" s="83"/>
      <c r="AI229" s="83" t="s">
        <v>2307</v>
      </c>
      <c r="AJ229" s="92">
        <v>40736.53016203704</v>
      </c>
      <c r="AK229" s="89" t="str">
        <f>HYPERLINK("https://yt3.ggpht.com/ytc/AGIKgqPBVBtlVuQ8P1_JHZXIZaUOlbalksmNrOsOTPmP=s88-c-k-c0x00ffffff-no-rj")</f>
        <v>https://yt3.ggpht.com/ytc/AGIKgqPBVBtlVuQ8P1_JHZXIZaUOlbalksmNrOsOTPmP=s88-c-k-c0x00ffffff-no-rj</v>
      </c>
      <c r="AL229" s="83">
        <v>57568</v>
      </c>
      <c r="AM229" s="83">
        <v>0</v>
      </c>
      <c r="AN229" s="83">
        <v>104</v>
      </c>
      <c r="AO229" s="83" t="b">
        <v>0</v>
      </c>
      <c r="AP229" s="83">
        <v>16</v>
      </c>
      <c r="AQ229" s="83"/>
      <c r="AR229" s="83"/>
      <c r="AS229" s="83" t="s">
        <v>2744</v>
      </c>
      <c r="AT229" s="89" t="str">
        <f>HYPERLINK("https://www.youtube.com/channel/UCd3oOj9b8aBbg3cVL9z7wpQ")</f>
        <v>https://www.youtube.com/channel/UCd3oOj9b8aBbg3cVL9z7wpQ</v>
      </c>
      <c r="AU229" s="83" t="str">
        <f>REPLACE(INDEX(GroupVertices[Group],MATCH(Vertices[[#This Row],[Vertex]],GroupVertices[Vertex],0)),1,1,"")</f>
        <v>2</v>
      </c>
      <c r="AV229" s="45"/>
      <c r="AW229" s="46"/>
      <c r="AX229" s="45"/>
      <c r="AY229" s="46"/>
      <c r="AZ229" s="45"/>
      <c r="BA229" s="46"/>
      <c r="BB229" s="45"/>
      <c r="BC229" s="46"/>
      <c r="BD229" s="45"/>
      <c r="BE229" s="110" t="s">
        <v>1874</v>
      </c>
      <c r="BF229" s="110" t="s">
        <v>1874</v>
      </c>
      <c r="BG229" s="110" t="s">
        <v>1874</v>
      </c>
      <c r="BH229" s="110" t="s">
        <v>1874</v>
      </c>
      <c r="BI229" s="2"/>
    </row>
    <row r="230" spans="1:61" ht="15">
      <c r="A230" s="61" t="s">
        <v>433</v>
      </c>
      <c r="B230" s="62" t="s">
        <v>2893</v>
      </c>
      <c r="C230" s="62"/>
      <c r="D230" s="63">
        <v>100</v>
      </c>
      <c r="E230" s="65">
        <v>50</v>
      </c>
      <c r="F230" s="100" t="str">
        <f>HYPERLINK("https://yt3.ggpht.com/ytc/AGIKgqNscMIjkAzWSuD-YVT9K76zH3t7GVCtV4SpXQ=s88-c-k-c0x00ffffff-no-rj")</f>
        <v>https://yt3.ggpht.com/ytc/AGIKgqNscMIjkAzWSuD-YVT9K76zH3t7GVCtV4SpXQ=s88-c-k-c0x00ffffff-no-rj</v>
      </c>
      <c r="G230" s="62"/>
      <c r="H230" s="66" t="s">
        <v>1271</v>
      </c>
      <c r="I230" s="67"/>
      <c r="J230" s="67" t="s">
        <v>159</v>
      </c>
      <c r="K230" s="66" t="s">
        <v>1271</v>
      </c>
      <c r="L230" s="70"/>
      <c r="M230" s="71">
        <v>2911.94287109375</v>
      </c>
      <c r="N230" s="71">
        <v>4394.22314453125</v>
      </c>
      <c r="O230" s="72"/>
      <c r="P230" s="73"/>
      <c r="Q230" s="73"/>
      <c r="R230" s="94"/>
      <c r="S230" s="45">
        <v>0</v>
      </c>
      <c r="T230" s="45">
        <v>1</v>
      </c>
      <c r="U230" s="46">
        <v>0</v>
      </c>
      <c r="V230" s="46">
        <v>0.096339</v>
      </c>
      <c r="W230" s="46">
        <v>3E-06</v>
      </c>
      <c r="X230" s="46">
        <v>0.002054</v>
      </c>
      <c r="Y230" s="46">
        <v>0</v>
      </c>
      <c r="Z230" s="46">
        <v>0</v>
      </c>
      <c r="AA230" s="68">
        <v>230</v>
      </c>
      <c r="AB230" s="68"/>
      <c r="AC230" s="69"/>
      <c r="AD230" s="83" t="s">
        <v>1271</v>
      </c>
      <c r="AE230" s="83"/>
      <c r="AF230" s="83"/>
      <c r="AG230" s="83"/>
      <c r="AH230" s="83"/>
      <c r="AI230" s="83" t="s">
        <v>2308</v>
      </c>
      <c r="AJ230" s="83" t="s">
        <v>2632</v>
      </c>
      <c r="AK230" s="89" t="str">
        <f>HYPERLINK("https://yt3.ggpht.com/ytc/AGIKgqNscMIjkAzWSuD-YVT9K76zH3t7GVCtV4SpXQ=s88-c-k-c0x00ffffff-no-rj")</f>
        <v>https://yt3.ggpht.com/ytc/AGIKgqNscMIjkAzWSuD-YVT9K76zH3t7GVCtV4SpXQ=s88-c-k-c0x00ffffff-no-rj</v>
      </c>
      <c r="AL230" s="83">
        <v>0</v>
      </c>
      <c r="AM230" s="83">
        <v>0</v>
      </c>
      <c r="AN230" s="83">
        <v>0</v>
      </c>
      <c r="AO230" s="83" t="b">
        <v>0</v>
      </c>
      <c r="AP230" s="83">
        <v>0</v>
      </c>
      <c r="AQ230" s="83"/>
      <c r="AR230" s="83"/>
      <c r="AS230" s="83" t="s">
        <v>2744</v>
      </c>
      <c r="AT230" s="89" t="str">
        <f>HYPERLINK("https://www.youtube.com/channel/UCvenNaUPHhrEPUtaFLX3fow")</f>
        <v>https://www.youtube.com/channel/UCvenNaUPHhrEPUtaFLX3fow</v>
      </c>
      <c r="AU230" s="83" t="str">
        <f>REPLACE(INDEX(GroupVertices[Group],MATCH(Vertices[[#This Row],[Vertex]],GroupVertices[Vertex],0)),1,1,"")</f>
        <v>2</v>
      </c>
      <c r="AV230" s="45"/>
      <c r="AW230" s="46"/>
      <c r="AX230" s="45"/>
      <c r="AY230" s="46"/>
      <c r="AZ230" s="45"/>
      <c r="BA230" s="46"/>
      <c r="BB230" s="45"/>
      <c r="BC230" s="46"/>
      <c r="BD230" s="45"/>
      <c r="BE230" s="110" t="s">
        <v>1874</v>
      </c>
      <c r="BF230" s="110" t="s">
        <v>1874</v>
      </c>
      <c r="BG230" s="110" t="s">
        <v>1874</v>
      </c>
      <c r="BH230" s="110" t="s">
        <v>1874</v>
      </c>
      <c r="BI230" s="2"/>
    </row>
    <row r="231" spans="1:61" ht="15">
      <c r="A231" s="61" t="s">
        <v>434</v>
      </c>
      <c r="B231" s="62" t="s">
        <v>2893</v>
      </c>
      <c r="C231" s="62"/>
      <c r="D231" s="63">
        <v>100</v>
      </c>
      <c r="E231" s="65">
        <v>50</v>
      </c>
      <c r="F231" s="100" t="str">
        <f>HYPERLINK("https://yt3.ggpht.com/ytc/AGIKgqO3G6L34oMLbZQqbi8HpsYdXDOSneMVCqRZMw=s88-c-k-c0x00ffffff-no-rj")</f>
        <v>https://yt3.ggpht.com/ytc/AGIKgqO3G6L34oMLbZQqbi8HpsYdXDOSneMVCqRZMw=s88-c-k-c0x00ffffff-no-rj</v>
      </c>
      <c r="G231" s="62"/>
      <c r="H231" s="66" t="s">
        <v>1272</v>
      </c>
      <c r="I231" s="67"/>
      <c r="J231" s="67" t="s">
        <v>159</v>
      </c>
      <c r="K231" s="66" t="s">
        <v>1272</v>
      </c>
      <c r="L231" s="70"/>
      <c r="M231" s="71">
        <v>2610.554443359375</v>
      </c>
      <c r="N231" s="71">
        <v>4394.22314453125</v>
      </c>
      <c r="O231" s="72"/>
      <c r="P231" s="73"/>
      <c r="Q231" s="73"/>
      <c r="R231" s="94"/>
      <c r="S231" s="45">
        <v>0</v>
      </c>
      <c r="T231" s="45">
        <v>1</v>
      </c>
      <c r="U231" s="46">
        <v>0</v>
      </c>
      <c r="V231" s="46">
        <v>0.096339</v>
      </c>
      <c r="W231" s="46">
        <v>3E-06</v>
      </c>
      <c r="X231" s="46">
        <v>0.002054</v>
      </c>
      <c r="Y231" s="46">
        <v>0</v>
      </c>
      <c r="Z231" s="46">
        <v>0</v>
      </c>
      <c r="AA231" s="68">
        <v>231</v>
      </c>
      <c r="AB231" s="68"/>
      <c r="AC231" s="69"/>
      <c r="AD231" s="83" t="s">
        <v>1272</v>
      </c>
      <c r="AE231" s="83"/>
      <c r="AF231" s="83"/>
      <c r="AG231" s="83"/>
      <c r="AH231" s="83"/>
      <c r="AI231" s="83" t="s">
        <v>2309</v>
      </c>
      <c r="AJ231" s="83" t="s">
        <v>2633</v>
      </c>
      <c r="AK231" s="89" t="str">
        <f>HYPERLINK("https://yt3.ggpht.com/ytc/AGIKgqO3G6L34oMLbZQqbi8HpsYdXDOSneMVCqRZMw=s88-c-k-c0x00ffffff-no-rj")</f>
        <v>https://yt3.ggpht.com/ytc/AGIKgqO3G6L34oMLbZQqbi8HpsYdXDOSneMVCqRZMw=s88-c-k-c0x00ffffff-no-rj</v>
      </c>
      <c r="AL231" s="83">
        <v>49258</v>
      </c>
      <c r="AM231" s="83">
        <v>0</v>
      </c>
      <c r="AN231" s="83">
        <v>25</v>
      </c>
      <c r="AO231" s="83" t="b">
        <v>0</v>
      </c>
      <c r="AP231" s="83">
        <v>10</v>
      </c>
      <c r="AQ231" s="83"/>
      <c r="AR231" s="83"/>
      <c r="AS231" s="83" t="s">
        <v>2744</v>
      </c>
      <c r="AT231" s="89" t="str">
        <f>HYPERLINK("https://www.youtube.com/channel/UCTDf1TcecVPO5uPX-YmK2bA")</f>
        <v>https://www.youtube.com/channel/UCTDf1TcecVPO5uPX-YmK2bA</v>
      </c>
      <c r="AU231" s="83" t="str">
        <f>REPLACE(INDEX(GroupVertices[Group],MATCH(Vertices[[#This Row],[Vertex]],GroupVertices[Vertex],0)),1,1,"")</f>
        <v>2</v>
      </c>
      <c r="AV231" s="45"/>
      <c r="AW231" s="46"/>
      <c r="AX231" s="45"/>
      <c r="AY231" s="46"/>
      <c r="AZ231" s="45"/>
      <c r="BA231" s="46"/>
      <c r="BB231" s="45"/>
      <c r="BC231" s="46"/>
      <c r="BD231" s="45"/>
      <c r="BE231" s="110" t="s">
        <v>1874</v>
      </c>
      <c r="BF231" s="110" t="s">
        <v>1874</v>
      </c>
      <c r="BG231" s="110" t="s">
        <v>1874</v>
      </c>
      <c r="BH231" s="110" t="s">
        <v>1874</v>
      </c>
      <c r="BI231" s="2"/>
    </row>
    <row r="232" spans="1:61" ht="15">
      <c r="A232" s="61" t="s">
        <v>435</v>
      </c>
      <c r="B232" s="62" t="s">
        <v>2893</v>
      </c>
      <c r="C232" s="62"/>
      <c r="D232" s="63">
        <v>100</v>
      </c>
      <c r="E232" s="65">
        <v>50</v>
      </c>
      <c r="F232" s="100" t="str">
        <f>HYPERLINK("https://yt3.ggpht.com/ytc/AGIKgqOPXZbD3UnX_y1yHxDlE3JAFHfXvS3txfbNgA=s88-c-k-c0x00ffffff-no-rj")</f>
        <v>https://yt3.ggpht.com/ytc/AGIKgqOPXZbD3UnX_y1yHxDlE3JAFHfXvS3txfbNgA=s88-c-k-c0x00ffffff-no-rj</v>
      </c>
      <c r="G232" s="62"/>
      <c r="H232" s="66" t="s">
        <v>1273</v>
      </c>
      <c r="I232" s="67"/>
      <c r="J232" s="67" t="s">
        <v>159</v>
      </c>
      <c r="K232" s="66" t="s">
        <v>1273</v>
      </c>
      <c r="L232" s="70"/>
      <c r="M232" s="71">
        <v>5021.6611328125</v>
      </c>
      <c r="N232" s="71">
        <v>5020.5654296875</v>
      </c>
      <c r="O232" s="72"/>
      <c r="P232" s="73"/>
      <c r="Q232" s="73"/>
      <c r="R232" s="94"/>
      <c r="S232" s="45">
        <v>0</v>
      </c>
      <c r="T232" s="45">
        <v>1</v>
      </c>
      <c r="U232" s="46">
        <v>0</v>
      </c>
      <c r="V232" s="46">
        <v>0.096339</v>
      </c>
      <c r="W232" s="46">
        <v>3E-06</v>
      </c>
      <c r="X232" s="46">
        <v>0.002054</v>
      </c>
      <c r="Y232" s="46">
        <v>0</v>
      </c>
      <c r="Z232" s="46">
        <v>0</v>
      </c>
      <c r="AA232" s="68">
        <v>232</v>
      </c>
      <c r="AB232" s="68"/>
      <c r="AC232" s="69"/>
      <c r="AD232" s="83" t="s">
        <v>1273</v>
      </c>
      <c r="AE232" s="83"/>
      <c r="AF232" s="83"/>
      <c r="AG232" s="83"/>
      <c r="AH232" s="83"/>
      <c r="AI232" s="83" t="s">
        <v>2310</v>
      </c>
      <c r="AJ232" s="83" t="s">
        <v>2634</v>
      </c>
      <c r="AK232" s="89" t="str">
        <f>HYPERLINK("https://yt3.ggpht.com/ytc/AGIKgqOPXZbD3UnX_y1yHxDlE3JAFHfXvS3txfbNgA=s88-c-k-c0x00ffffff-no-rj")</f>
        <v>https://yt3.ggpht.com/ytc/AGIKgqOPXZbD3UnX_y1yHxDlE3JAFHfXvS3txfbNgA=s88-c-k-c0x00ffffff-no-rj</v>
      </c>
      <c r="AL232" s="83">
        <v>0</v>
      </c>
      <c r="AM232" s="83">
        <v>0</v>
      </c>
      <c r="AN232" s="83">
        <v>0</v>
      </c>
      <c r="AO232" s="83" t="b">
        <v>0</v>
      </c>
      <c r="AP232" s="83">
        <v>0</v>
      </c>
      <c r="AQ232" s="83"/>
      <c r="AR232" s="83"/>
      <c r="AS232" s="83" t="s">
        <v>2744</v>
      </c>
      <c r="AT232" s="89" t="str">
        <f>HYPERLINK("https://www.youtube.com/channel/UCUMe8TJDCQYzEFSdBkUwHjw")</f>
        <v>https://www.youtube.com/channel/UCUMe8TJDCQYzEFSdBkUwHjw</v>
      </c>
      <c r="AU232" s="83" t="str">
        <f>REPLACE(INDEX(GroupVertices[Group],MATCH(Vertices[[#This Row],[Vertex]],GroupVertices[Vertex],0)),1,1,"")</f>
        <v>2</v>
      </c>
      <c r="AV232" s="45"/>
      <c r="AW232" s="46"/>
      <c r="AX232" s="45"/>
      <c r="AY232" s="46"/>
      <c r="AZ232" s="45"/>
      <c r="BA232" s="46"/>
      <c r="BB232" s="45"/>
      <c r="BC232" s="46"/>
      <c r="BD232" s="45"/>
      <c r="BE232" s="110" t="s">
        <v>1874</v>
      </c>
      <c r="BF232" s="110" t="s">
        <v>1874</v>
      </c>
      <c r="BG232" s="110" t="s">
        <v>1874</v>
      </c>
      <c r="BH232" s="110" t="s">
        <v>1874</v>
      </c>
      <c r="BI232" s="2"/>
    </row>
    <row r="233" spans="1:61" ht="15">
      <c r="A233" s="61" t="s">
        <v>436</v>
      </c>
      <c r="B233" s="62" t="s">
        <v>2893</v>
      </c>
      <c r="C233" s="62"/>
      <c r="D233" s="63">
        <v>100</v>
      </c>
      <c r="E233" s="65">
        <v>50</v>
      </c>
      <c r="F233" s="100" t="str">
        <f>HYPERLINK("https://yt3.ggpht.com/pbdorVRa8xP5LHpMJMkc6luqlESBkplQELPho6SDSFaV6jT0lsOwLxGQy4NvA7WkYAkkE_96ltM=s88-c-k-c0x00ffffff-no-rj")</f>
        <v>https://yt3.ggpht.com/pbdorVRa8xP5LHpMJMkc6luqlESBkplQELPho6SDSFaV6jT0lsOwLxGQy4NvA7WkYAkkE_96ltM=s88-c-k-c0x00ffffff-no-rj</v>
      </c>
      <c r="G233" s="62"/>
      <c r="H233" s="66" t="s">
        <v>1274</v>
      </c>
      <c r="I233" s="67"/>
      <c r="J233" s="67" t="s">
        <v>159</v>
      </c>
      <c r="K233" s="66" t="s">
        <v>1274</v>
      </c>
      <c r="L233" s="70"/>
      <c r="M233" s="71">
        <v>4720.2724609375</v>
      </c>
      <c r="N233" s="71">
        <v>5020.5654296875</v>
      </c>
      <c r="O233" s="72"/>
      <c r="P233" s="73"/>
      <c r="Q233" s="73"/>
      <c r="R233" s="94"/>
      <c r="S233" s="45">
        <v>0</v>
      </c>
      <c r="T233" s="45">
        <v>1</v>
      </c>
      <c r="U233" s="46">
        <v>0</v>
      </c>
      <c r="V233" s="46">
        <v>0.096339</v>
      </c>
      <c r="W233" s="46">
        <v>3E-06</v>
      </c>
      <c r="X233" s="46">
        <v>0.002054</v>
      </c>
      <c r="Y233" s="46">
        <v>0</v>
      </c>
      <c r="Z233" s="46">
        <v>0</v>
      </c>
      <c r="AA233" s="68">
        <v>233</v>
      </c>
      <c r="AB233" s="68"/>
      <c r="AC233" s="69"/>
      <c r="AD233" s="83" t="s">
        <v>1274</v>
      </c>
      <c r="AE233" s="83"/>
      <c r="AF233" s="83"/>
      <c r="AG233" s="83"/>
      <c r="AH233" s="83"/>
      <c r="AI233" s="83" t="s">
        <v>2311</v>
      </c>
      <c r="AJ233" s="92">
        <v>44355.01824074074</v>
      </c>
      <c r="AK233" s="89" t="str">
        <f>HYPERLINK("https://yt3.ggpht.com/pbdorVRa8xP5LHpMJMkc6luqlESBkplQELPho6SDSFaV6jT0lsOwLxGQy4NvA7WkYAkkE_96ltM=s88-c-k-c0x00ffffff-no-rj")</f>
        <v>https://yt3.ggpht.com/pbdorVRa8xP5LHpMJMkc6luqlESBkplQELPho6SDSFaV6jT0lsOwLxGQy4NvA7WkYAkkE_96ltM=s88-c-k-c0x00ffffff-no-rj</v>
      </c>
      <c r="AL233" s="83">
        <v>0</v>
      </c>
      <c r="AM233" s="83">
        <v>0</v>
      </c>
      <c r="AN233" s="83">
        <v>0</v>
      </c>
      <c r="AO233" s="83" t="b">
        <v>0</v>
      </c>
      <c r="AP233" s="83">
        <v>0</v>
      </c>
      <c r="AQ233" s="83"/>
      <c r="AR233" s="83"/>
      <c r="AS233" s="83" t="s">
        <v>2744</v>
      </c>
      <c r="AT233" s="89" t="str">
        <f>HYPERLINK("https://www.youtube.com/channel/UCDaK1BrtB4BmUM0WtD6z0mg")</f>
        <v>https://www.youtube.com/channel/UCDaK1BrtB4BmUM0WtD6z0mg</v>
      </c>
      <c r="AU233" s="83" t="str">
        <f>REPLACE(INDEX(GroupVertices[Group],MATCH(Vertices[[#This Row],[Vertex]],GroupVertices[Vertex],0)),1,1,"")</f>
        <v>2</v>
      </c>
      <c r="AV233" s="45"/>
      <c r="AW233" s="46"/>
      <c r="AX233" s="45"/>
      <c r="AY233" s="46"/>
      <c r="AZ233" s="45"/>
      <c r="BA233" s="46"/>
      <c r="BB233" s="45"/>
      <c r="BC233" s="46"/>
      <c r="BD233" s="45"/>
      <c r="BE233" s="110" t="s">
        <v>1874</v>
      </c>
      <c r="BF233" s="110" t="s">
        <v>1874</v>
      </c>
      <c r="BG233" s="110" t="s">
        <v>1874</v>
      </c>
      <c r="BH233" s="110" t="s">
        <v>1874</v>
      </c>
      <c r="BI233" s="2"/>
    </row>
    <row r="234" spans="1:61" ht="15">
      <c r="A234" s="61" t="s">
        <v>437</v>
      </c>
      <c r="B234" s="62" t="s">
        <v>2893</v>
      </c>
      <c r="C234" s="62"/>
      <c r="D234" s="63">
        <v>100</v>
      </c>
      <c r="E234" s="65">
        <v>50</v>
      </c>
      <c r="F234" s="100" t="str">
        <f>HYPERLINK("https://yt3.ggpht.com/l4xu_M6qqI39m7nAOGb19AjtCAYzoZxPeFtUEGMKC-EmjoE4tEijweUjegTMGujO3z8-TSg4Mg=s88-c-k-c0x00ffffff-no-rj")</f>
        <v>https://yt3.ggpht.com/l4xu_M6qqI39m7nAOGb19AjtCAYzoZxPeFtUEGMKC-EmjoE4tEijweUjegTMGujO3z8-TSg4Mg=s88-c-k-c0x00ffffff-no-rj</v>
      </c>
      <c r="G234" s="62"/>
      <c r="H234" s="66" t="s">
        <v>1275</v>
      </c>
      <c r="I234" s="67"/>
      <c r="J234" s="67" t="s">
        <v>159</v>
      </c>
      <c r="K234" s="66" t="s">
        <v>1275</v>
      </c>
      <c r="L234" s="70"/>
      <c r="M234" s="71">
        <v>4418.88427734375</v>
      </c>
      <c r="N234" s="71">
        <v>5020.5654296875</v>
      </c>
      <c r="O234" s="72"/>
      <c r="P234" s="73"/>
      <c r="Q234" s="73"/>
      <c r="R234" s="94"/>
      <c r="S234" s="45">
        <v>0</v>
      </c>
      <c r="T234" s="45">
        <v>1</v>
      </c>
      <c r="U234" s="46">
        <v>0</v>
      </c>
      <c r="V234" s="46">
        <v>0.096339</v>
      </c>
      <c r="W234" s="46">
        <v>3E-06</v>
      </c>
      <c r="X234" s="46">
        <v>0.002054</v>
      </c>
      <c r="Y234" s="46">
        <v>0</v>
      </c>
      <c r="Z234" s="46">
        <v>0</v>
      </c>
      <c r="AA234" s="68">
        <v>234</v>
      </c>
      <c r="AB234" s="68"/>
      <c r="AC234" s="69"/>
      <c r="AD234" s="83" t="s">
        <v>1275</v>
      </c>
      <c r="AE234" s="83" t="s">
        <v>2005</v>
      </c>
      <c r="AF234" s="83"/>
      <c r="AG234" s="83"/>
      <c r="AH234" s="83"/>
      <c r="AI234" s="83" t="s">
        <v>2312</v>
      </c>
      <c r="AJ234" s="92">
        <v>43894.50334490741</v>
      </c>
      <c r="AK234" s="89" t="str">
        <f>HYPERLINK("https://yt3.ggpht.com/l4xu_M6qqI39m7nAOGb19AjtCAYzoZxPeFtUEGMKC-EmjoE4tEijweUjegTMGujO3z8-TSg4Mg=s88-c-k-c0x00ffffff-no-rj")</f>
        <v>https://yt3.ggpht.com/l4xu_M6qqI39m7nAOGb19AjtCAYzoZxPeFtUEGMKC-EmjoE4tEijweUjegTMGujO3z8-TSg4Mg=s88-c-k-c0x00ffffff-no-rj</v>
      </c>
      <c r="AL234" s="83">
        <v>0</v>
      </c>
      <c r="AM234" s="83">
        <v>0</v>
      </c>
      <c r="AN234" s="83">
        <v>1</v>
      </c>
      <c r="AO234" s="83" t="b">
        <v>0</v>
      </c>
      <c r="AP234" s="83">
        <v>0</v>
      </c>
      <c r="AQ234" s="83"/>
      <c r="AR234" s="83"/>
      <c r="AS234" s="83" t="s">
        <v>2744</v>
      </c>
      <c r="AT234" s="89" t="str">
        <f>HYPERLINK("https://www.youtube.com/channel/UCrz_aNtIibbozyYJNJH3nRw")</f>
        <v>https://www.youtube.com/channel/UCrz_aNtIibbozyYJNJH3nRw</v>
      </c>
      <c r="AU234" s="83" t="str">
        <f>REPLACE(INDEX(GroupVertices[Group],MATCH(Vertices[[#This Row],[Vertex]],GroupVertices[Vertex],0)),1,1,"")</f>
        <v>2</v>
      </c>
      <c r="AV234" s="45"/>
      <c r="AW234" s="46"/>
      <c r="AX234" s="45"/>
      <c r="AY234" s="46"/>
      <c r="AZ234" s="45"/>
      <c r="BA234" s="46"/>
      <c r="BB234" s="45"/>
      <c r="BC234" s="46"/>
      <c r="BD234" s="45"/>
      <c r="BE234" s="110" t="s">
        <v>1874</v>
      </c>
      <c r="BF234" s="110" t="s">
        <v>1874</v>
      </c>
      <c r="BG234" s="110" t="s">
        <v>1874</v>
      </c>
      <c r="BH234" s="110" t="s">
        <v>1874</v>
      </c>
      <c r="BI234" s="2"/>
    </row>
    <row r="235" spans="1:61" ht="15">
      <c r="A235" s="61" t="s">
        <v>438</v>
      </c>
      <c r="B235" s="62" t="s">
        <v>2893</v>
      </c>
      <c r="C235" s="62"/>
      <c r="D235" s="63">
        <v>100</v>
      </c>
      <c r="E235" s="65">
        <v>50</v>
      </c>
      <c r="F235" s="100" t="str">
        <f>HYPERLINK("https://yt3.ggpht.com/ytc/AGIKgqNOdk0XBN15iksSqoNH6_5R2VQw_qN1CPJOuw=s88-c-k-c0x00ffffff-no-rj")</f>
        <v>https://yt3.ggpht.com/ytc/AGIKgqNOdk0XBN15iksSqoNH6_5R2VQw_qN1CPJOuw=s88-c-k-c0x00ffffff-no-rj</v>
      </c>
      <c r="G235" s="62"/>
      <c r="H235" s="66" t="s">
        <v>1276</v>
      </c>
      <c r="I235" s="67"/>
      <c r="J235" s="67" t="s">
        <v>159</v>
      </c>
      <c r="K235" s="66" t="s">
        <v>1276</v>
      </c>
      <c r="L235" s="70"/>
      <c r="M235" s="71">
        <v>4117.49609375</v>
      </c>
      <c r="N235" s="71">
        <v>5020.5654296875</v>
      </c>
      <c r="O235" s="72"/>
      <c r="P235" s="73"/>
      <c r="Q235" s="73"/>
      <c r="R235" s="94"/>
      <c r="S235" s="45">
        <v>0</v>
      </c>
      <c r="T235" s="45">
        <v>1</v>
      </c>
      <c r="U235" s="46">
        <v>0</v>
      </c>
      <c r="V235" s="46">
        <v>0.096339</v>
      </c>
      <c r="W235" s="46">
        <v>3E-06</v>
      </c>
      <c r="X235" s="46">
        <v>0.002054</v>
      </c>
      <c r="Y235" s="46">
        <v>0</v>
      </c>
      <c r="Z235" s="46">
        <v>0</v>
      </c>
      <c r="AA235" s="68">
        <v>235</v>
      </c>
      <c r="AB235" s="68"/>
      <c r="AC235" s="69"/>
      <c r="AD235" s="83" t="s">
        <v>1276</v>
      </c>
      <c r="AE235" s="83"/>
      <c r="AF235" s="83"/>
      <c r="AG235" s="83"/>
      <c r="AH235" s="83"/>
      <c r="AI235" s="83" t="s">
        <v>2313</v>
      </c>
      <c r="AJ235" s="83" t="s">
        <v>2635</v>
      </c>
      <c r="AK235" s="89" t="str">
        <f>HYPERLINK("https://yt3.ggpht.com/ytc/AGIKgqNOdk0XBN15iksSqoNH6_5R2VQw_qN1CPJOuw=s88-c-k-c0x00ffffff-no-rj")</f>
        <v>https://yt3.ggpht.com/ytc/AGIKgqNOdk0XBN15iksSqoNH6_5R2VQw_qN1CPJOuw=s88-c-k-c0x00ffffff-no-rj</v>
      </c>
      <c r="AL235" s="83">
        <v>0</v>
      </c>
      <c r="AM235" s="83">
        <v>0</v>
      </c>
      <c r="AN235" s="83">
        <v>1</v>
      </c>
      <c r="AO235" s="83" t="b">
        <v>0</v>
      </c>
      <c r="AP235" s="83">
        <v>0</v>
      </c>
      <c r="AQ235" s="83"/>
      <c r="AR235" s="83"/>
      <c r="AS235" s="83" t="s">
        <v>2744</v>
      </c>
      <c r="AT235" s="89" t="str">
        <f>HYPERLINK("https://www.youtube.com/channel/UCWL5gY_M9yIJzvstnbmE91A")</f>
        <v>https://www.youtube.com/channel/UCWL5gY_M9yIJzvstnbmE91A</v>
      </c>
      <c r="AU235" s="83" t="str">
        <f>REPLACE(INDEX(GroupVertices[Group],MATCH(Vertices[[#This Row],[Vertex]],GroupVertices[Vertex],0)),1,1,"")</f>
        <v>2</v>
      </c>
      <c r="AV235" s="45"/>
      <c r="AW235" s="46"/>
      <c r="AX235" s="45"/>
      <c r="AY235" s="46"/>
      <c r="AZ235" s="45"/>
      <c r="BA235" s="46"/>
      <c r="BB235" s="45"/>
      <c r="BC235" s="46"/>
      <c r="BD235" s="45"/>
      <c r="BE235" s="110" t="s">
        <v>1874</v>
      </c>
      <c r="BF235" s="110" t="s">
        <v>1874</v>
      </c>
      <c r="BG235" s="110" t="s">
        <v>1874</v>
      </c>
      <c r="BH235" s="110" t="s">
        <v>1874</v>
      </c>
      <c r="BI235" s="2"/>
    </row>
    <row r="236" spans="1:61" ht="15">
      <c r="A236" s="61" t="s">
        <v>439</v>
      </c>
      <c r="B236" s="62" t="s">
        <v>2893</v>
      </c>
      <c r="C236" s="62"/>
      <c r="D236" s="63">
        <v>100</v>
      </c>
      <c r="E236" s="65">
        <v>50</v>
      </c>
      <c r="F236" s="100" t="str">
        <f>HYPERLINK("https://yt3.ggpht.com/_WmVt_w1As6C0yrQNkTRNi8U8Y6JearZOf--x--ZI58rJdx45RyXfosr3UcEwvm-8gmPCvrcAw=s88-c-k-c0x00ffffff-no-rj")</f>
        <v>https://yt3.ggpht.com/_WmVt_w1As6C0yrQNkTRNi8U8Y6JearZOf--x--ZI58rJdx45RyXfosr3UcEwvm-8gmPCvrcAw=s88-c-k-c0x00ffffff-no-rj</v>
      </c>
      <c r="G236" s="62"/>
      <c r="H236" s="66" t="s">
        <v>1277</v>
      </c>
      <c r="I236" s="67"/>
      <c r="J236" s="67" t="s">
        <v>159</v>
      </c>
      <c r="K236" s="66" t="s">
        <v>1277</v>
      </c>
      <c r="L236" s="70"/>
      <c r="M236" s="71">
        <v>3816.107666015625</v>
      </c>
      <c r="N236" s="71">
        <v>5020.5654296875</v>
      </c>
      <c r="O236" s="72"/>
      <c r="P236" s="73"/>
      <c r="Q236" s="73"/>
      <c r="R236" s="94"/>
      <c r="S236" s="45">
        <v>0</v>
      </c>
      <c r="T236" s="45">
        <v>1</v>
      </c>
      <c r="U236" s="46">
        <v>0</v>
      </c>
      <c r="V236" s="46">
        <v>0.096339</v>
      </c>
      <c r="W236" s="46">
        <v>3E-06</v>
      </c>
      <c r="X236" s="46">
        <v>0.002054</v>
      </c>
      <c r="Y236" s="46">
        <v>0</v>
      </c>
      <c r="Z236" s="46">
        <v>0</v>
      </c>
      <c r="AA236" s="68">
        <v>236</v>
      </c>
      <c r="AB236" s="68"/>
      <c r="AC236" s="69"/>
      <c r="AD236" s="83" t="s">
        <v>1277</v>
      </c>
      <c r="AE236" s="83" t="s">
        <v>2006</v>
      </c>
      <c r="AF236" s="83"/>
      <c r="AG236" s="83"/>
      <c r="AH236" s="83"/>
      <c r="AI236" s="83" t="s">
        <v>2314</v>
      </c>
      <c r="AJ236" s="83" t="s">
        <v>2636</v>
      </c>
      <c r="AK236" s="89" t="str">
        <f>HYPERLINK("https://yt3.ggpht.com/_WmVt_w1As6C0yrQNkTRNi8U8Y6JearZOf--x--ZI58rJdx45RyXfosr3UcEwvm-8gmPCvrcAw=s88-c-k-c0x00ffffff-no-rj")</f>
        <v>https://yt3.ggpht.com/_WmVt_w1As6C0yrQNkTRNi8U8Y6JearZOf--x--ZI58rJdx45RyXfosr3UcEwvm-8gmPCvrcAw=s88-c-k-c0x00ffffff-no-rj</v>
      </c>
      <c r="AL236" s="83">
        <v>1188</v>
      </c>
      <c r="AM236" s="83">
        <v>0</v>
      </c>
      <c r="AN236" s="83">
        <v>0</v>
      </c>
      <c r="AO236" s="83" t="b">
        <v>0</v>
      </c>
      <c r="AP236" s="83">
        <v>9</v>
      </c>
      <c r="AQ236" s="83"/>
      <c r="AR236" s="83"/>
      <c r="AS236" s="83" t="s">
        <v>2744</v>
      </c>
      <c r="AT236" s="89" t="str">
        <f>HYPERLINK("https://www.youtube.com/channel/UC7f3POpPsIUBTAOKeKYBjyw")</f>
        <v>https://www.youtube.com/channel/UC7f3POpPsIUBTAOKeKYBjyw</v>
      </c>
      <c r="AU236" s="83" t="str">
        <f>REPLACE(INDEX(GroupVertices[Group],MATCH(Vertices[[#This Row],[Vertex]],GroupVertices[Vertex],0)),1,1,"")</f>
        <v>2</v>
      </c>
      <c r="AV236" s="45"/>
      <c r="AW236" s="46"/>
      <c r="AX236" s="45"/>
      <c r="AY236" s="46"/>
      <c r="AZ236" s="45"/>
      <c r="BA236" s="46"/>
      <c r="BB236" s="45"/>
      <c r="BC236" s="46"/>
      <c r="BD236" s="45"/>
      <c r="BE236" s="110" t="s">
        <v>1874</v>
      </c>
      <c r="BF236" s="110" t="s">
        <v>1874</v>
      </c>
      <c r="BG236" s="110" t="s">
        <v>1874</v>
      </c>
      <c r="BH236" s="110" t="s">
        <v>1874</v>
      </c>
      <c r="BI236" s="2"/>
    </row>
    <row r="237" spans="1:61" ht="15">
      <c r="A237" s="61" t="s">
        <v>440</v>
      </c>
      <c r="B237" s="62" t="s">
        <v>2893</v>
      </c>
      <c r="C237" s="62"/>
      <c r="D237" s="63">
        <v>100</v>
      </c>
      <c r="E237" s="65">
        <v>50</v>
      </c>
      <c r="F237" s="100" t="str">
        <f>HYPERLINK("https://yt3.ggpht.com/fXfBpo56xLA5PLaVGv9M8rgPUt-WbMA-yTQNY53-gCiEySTwal6usCPcWXuaEZu-LduSTcqE-I8=s88-c-k-c0x00ffffff-no-rj")</f>
        <v>https://yt3.ggpht.com/fXfBpo56xLA5PLaVGv9M8rgPUt-WbMA-yTQNY53-gCiEySTwal6usCPcWXuaEZu-LduSTcqE-I8=s88-c-k-c0x00ffffff-no-rj</v>
      </c>
      <c r="G237" s="62"/>
      <c r="H237" s="66" t="s">
        <v>1278</v>
      </c>
      <c r="I237" s="67"/>
      <c r="J237" s="67" t="s">
        <v>159</v>
      </c>
      <c r="K237" s="66" t="s">
        <v>1278</v>
      </c>
      <c r="L237" s="70"/>
      <c r="M237" s="71">
        <v>3514.719482421875</v>
      </c>
      <c r="N237" s="71">
        <v>5020.5654296875</v>
      </c>
      <c r="O237" s="72"/>
      <c r="P237" s="73"/>
      <c r="Q237" s="73"/>
      <c r="R237" s="94"/>
      <c r="S237" s="45">
        <v>0</v>
      </c>
      <c r="T237" s="45">
        <v>1</v>
      </c>
      <c r="U237" s="46">
        <v>0</v>
      </c>
      <c r="V237" s="46">
        <v>0.096339</v>
      </c>
      <c r="W237" s="46">
        <v>3E-06</v>
      </c>
      <c r="X237" s="46">
        <v>0.002054</v>
      </c>
      <c r="Y237" s="46">
        <v>0</v>
      </c>
      <c r="Z237" s="46">
        <v>0</v>
      </c>
      <c r="AA237" s="68">
        <v>237</v>
      </c>
      <c r="AB237" s="68"/>
      <c r="AC237" s="69"/>
      <c r="AD237" s="83" t="s">
        <v>1278</v>
      </c>
      <c r="AE237" s="83" t="s">
        <v>2007</v>
      </c>
      <c r="AF237" s="83"/>
      <c r="AG237" s="83"/>
      <c r="AH237" s="83"/>
      <c r="AI237" s="83" t="s">
        <v>2315</v>
      </c>
      <c r="AJ237" s="92">
        <v>41247.138032407405</v>
      </c>
      <c r="AK237" s="89" t="str">
        <f>HYPERLINK("https://yt3.ggpht.com/fXfBpo56xLA5PLaVGv9M8rgPUt-WbMA-yTQNY53-gCiEySTwal6usCPcWXuaEZu-LduSTcqE-I8=s88-c-k-c0x00ffffff-no-rj")</f>
        <v>https://yt3.ggpht.com/fXfBpo56xLA5PLaVGv9M8rgPUt-WbMA-yTQNY53-gCiEySTwal6usCPcWXuaEZu-LduSTcqE-I8=s88-c-k-c0x00ffffff-no-rj</v>
      </c>
      <c r="AL237" s="83">
        <v>396</v>
      </c>
      <c r="AM237" s="83">
        <v>0</v>
      </c>
      <c r="AN237" s="83">
        <v>10</v>
      </c>
      <c r="AO237" s="83" t="b">
        <v>0</v>
      </c>
      <c r="AP237" s="83">
        <v>12</v>
      </c>
      <c r="AQ237" s="83"/>
      <c r="AR237" s="83"/>
      <c r="AS237" s="83" t="s">
        <v>2744</v>
      </c>
      <c r="AT237" s="89" t="str">
        <f>HYPERLINK("https://www.youtube.com/channel/UCmIhERFSTHWemtXZ7dso_Jg")</f>
        <v>https://www.youtube.com/channel/UCmIhERFSTHWemtXZ7dso_Jg</v>
      </c>
      <c r="AU237" s="83" t="str">
        <f>REPLACE(INDEX(GroupVertices[Group],MATCH(Vertices[[#This Row],[Vertex]],GroupVertices[Vertex],0)),1,1,"")</f>
        <v>2</v>
      </c>
      <c r="AV237" s="45"/>
      <c r="AW237" s="46"/>
      <c r="AX237" s="45"/>
      <c r="AY237" s="46"/>
      <c r="AZ237" s="45"/>
      <c r="BA237" s="46"/>
      <c r="BB237" s="45"/>
      <c r="BC237" s="46"/>
      <c r="BD237" s="45"/>
      <c r="BE237" s="110" t="s">
        <v>1874</v>
      </c>
      <c r="BF237" s="110" t="s">
        <v>1874</v>
      </c>
      <c r="BG237" s="110" t="s">
        <v>1874</v>
      </c>
      <c r="BH237" s="110" t="s">
        <v>1874</v>
      </c>
      <c r="BI237" s="2"/>
    </row>
    <row r="238" spans="1:61" ht="15">
      <c r="A238" s="61" t="s">
        <v>441</v>
      </c>
      <c r="B238" s="62" t="s">
        <v>2893</v>
      </c>
      <c r="C238" s="62"/>
      <c r="D238" s="63">
        <v>100</v>
      </c>
      <c r="E238" s="65">
        <v>50</v>
      </c>
      <c r="F238" s="100" t="str">
        <f>HYPERLINK("https://yt3.ggpht.com/1QjfHtnxpBwFQo-8QRx6F4Bd4xHsHOq_IDcQYXHnB0UzxKBnUS-Ms_wswjiLQKwdrrCJRLjWgQ=s88-c-k-c0x00ffffff-no-rj")</f>
        <v>https://yt3.ggpht.com/1QjfHtnxpBwFQo-8QRx6F4Bd4xHsHOq_IDcQYXHnB0UzxKBnUS-Ms_wswjiLQKwdrrCJRLjWgQ=s88-c-k-c0x00ffffff-no-rj</v>
      </c>
      <c r="G238" s="62"/>
      <c r="H238" s="66" t="s">
        <v>1279</v>
      </c>
      <c r="I238" s="67"/>
      <c r="J238" s="67" t="s">
        <v>159</v>
      </c>
      <c r="K238" s="66" t="s">
        <v>1279</v>
      </c>
      <c r="L238" s="70"/>
      <c r="M238" s="71">
        <v>3213.3310546875</v>
      </c>
      <c r="N238" s="71">
        <v>5020.5654296875</v>
      </c>
      <c r="O238" s="72"/>
      <c r="P238" s="73"/>
      <c r="Q238" s="73"/>
      <c r="R238" s="94"/>
      <c r="S238" s="45">
        <v>0</v>
      </c>
      <c r="T238" s="45">
        <v>1</v>
      </c>
      <c r="U238" s="46">
        <v>0</v>
      </c>
      <c r="V238" s="46">
        <v>0.096339</v>
      </c>
      <c r="W238" s="46">
        <v>3E-06</v>
      </c>
      <c r="X238" s="46">
        <v>0.002054</v>
      </c>
      <c r="Y238" s="46">
        <v>0</v>
      </c>
      <c r="Z238" s="46">
        <v>0</v>
      </c>
      <c r="AA238" s="68">
        <v>238</v>
      </c>
      <c r="AB238" s="68"/>
      <c r="AC238" s="69"/>
      <c r="AD238" s="83" t="s">
        <v>1279</v>
      </c>
      <c r="AE238" s="83"/>
      <c r="AF238" s="83"/>
      <c r="AG238" s="83"/>
      <c r="AH238" s="83"/>
      <c r="AI238" s="83" t="s">
        <v>2316</v>
      </c>
      <c r="AJ238" s="92">
        <v>41071.04854166666</v>
      </c>
      <c r="AK238" s="89" t="str">
        <f>HYPERLINK("https://yt3.ggpht.com/1QjfHtnxpBwFQo-8QRx6F4Bd4xHsHOq_IDcQYXHnB0UzxKBnUS-Ms_wswjiLQKwdrrCJRLjWgQ=s88-c-k-c0x00ffffff-no-rj")</f>
        <v>https://yt3.ggpht.com/1QjfHtnxpBwFQo-8QRx6F4Bd4xHsHOq_IDcQYXHnB0UzxKBnUS-Ms_wswjiLQKwdrrCJRLjWgQ=s88-c-k-c0x00ffffff-no-rj</v>
      </c>
      <c r="AL238" s="83">
        <v>9040</v>
      </c>
      <c r="AM238" s="83">
        <v>0</v>
      </c>
      <c r="AN238" s="83">
        <v>7</v>
      </c>
      <c r="AO238" s="83" t="b">
        <v>0</v>
      </c>
      <c r="AP238" s="83">
        <v>3</v>
      </c>
      <c r="AQ238" s="83"/>
      <c r="AR238" s="83"/>
      <c r="AS238" s="83" t="s">
        <v>2744</v>
      </c>
      <c r="AT238" s="89" t="str">
        <f>HYPERLINK("https://www.youtube.com/channel/UCbvRGz-VcM0ZqWxfizsKclA")</f>
        <v>https://www.youtube.com/channel/UCbvRGz-VcM0ZqWxfizsKclA</v>
      </c>
      <c r="AU238" s="83" t="str">
        <f>REPLACE(INDEX(GroupVertices[Group],MATCH(Vertices[[#This Row],[Vertex]],GroupVertices[Vertex],0)),1,1,"")</f>
        <v>2</v>
      </c>
      <c r="AV238" s="45"/>
      <c r="AW238" s="46"/>
      <c r="AX238" s="45"/>
      <c r="AY238" s="46"/>
      <c r="AZ238" s="45"/>
      <c r="BA238" s="46"/>
      <c r="BB238" s="45"/>
      <c r="BC238" s="46"/>
      <c r="BD238" s="45"/>
      <c r="BE238" s="110" t="s">
        <v>1874</v>
      </c>
      <c r="BF238" s="110" t="s">
        <v>1874</v>
      </c>
      <c r="BG238" s="110" t="s">
        <v>1874</v>
      </c>
      <c r="BH238" s="110" t="s">
        <v>1874</v>
      </c>
      <c r="BI238" s="2"/>
    </row>
    <row r="239" spans="1:61" ht="15">
      <c r="A239" s="61" t="s">
        <v>442</v>
      </c>
      <c r="B239" s="62" t="s">
        <v>2893</v>
      </c>
      <c r="C239" s="62"/>
      <c r="D239" s="63">
        <v>100</v>
      </c>
      <c r="E239" s="65">
        <v>50</v>
      </c>
      <c r="F239" s="100" t="str">
        <f>HYPERLINK("https://yt3.ggpht.com/T8Za-BO_8YGHq7fHRR5KEmmQvyV3zkyeSHu5uJNR7gcLKlZeFxDCoXnTm4HMFGLuAu8N33zw1w=s88-c-k-c0x00ffffff-no-rj")</f>
        <v>https://yt3.ggpht.com/T8Za-BO_8YGHq7fHRR5KEmmQvyV3zkyeSHu5uJNR7gcLKlZeFxDCoXnTm4HMFGLuAu8N33zw1w=s88-c-k-c0x00ffffff-no-rj</v>
      </c>
      <c r="G239" s="62"/>
      <c r="H239" s="66" t="s">
        <v>1280</v>
      </c>
      <c r="I239" s="67"/>
      <c r="J239" s="67" t="s">
        <v>159</v>
      </c>
      <c r="K239" s="66" t="s">
        <v>1280</v>
      </c>
      <c r="L239" s="70"/>
      <c r="M239" s="71">
        <v>2911.94287109375</v>
      </c>
      <c r="N239" s="71">
        <v>5020.5654296875</v>
      </c>
      <c r="O239" s="72"/>
      <c r="P239" s="73"/>
      <c r="Q239" s="73"/>
      <c r="R239" s="94"/>
      <c r="S239" s="45">
        <v>0</v>
      </c>
      <c r="T239" s="45">
        <v>1</v>
      </c>
      <c r="U239" s="46">
        <v>0</v>
      </c>
      <c r="V239" s="46">
        <v>0.096339</v>
      </c>
      <c r="W239" s="46">
        <v>3E-06</v>
      </c>
      <c r="X239" s="46">
        <v>0.002054</v>
      </c>
      <c r="Y239" s="46">
        <v>0</v>
      </c>
      <c r="Z239" s="46">
        <v>0</v>
      </c>
      <c r="AA239" s="68">
        <v>239</v>
      </c>
      <c r="AB239" s="68"/>
      <c r="AC239" s="69"/>
      <c r="AD239" s="83" t="s">
        <v>1280</v>
      </c>
      <c r="AE239" s="83" t="s">
        <v>2008</v>
      </c>
      <c r="AF239" s="83"/>
      <c r="AG239" s="83"/>
      <c r="AH239" s="83"/>
      <c r="AI239" s="83" t="s">
        <v>2317</v>
      </c>
      <c r="AJ239" s="83" t="s">
        <v>2637</v>
      </c>
      <c r="AK239" s="89" t="str">
        <f>HYPERLINK("https://yt3.ggpht.com/T8Za-BO_8YGHq7fHRR5KEmmQvyV3zkyeSHu5uJNR7gcLKlZeFxDCoXnTm4HMFGLuAu8N33zw1w=s88-c-k-c0x00ffffff-no-rj")</f>
        <v>https://yt3.ggpht.com/T8Za-BO_8YGHq7fHRR5KEmmQvyV3zkyeSHu5uJNR7gcLKlZeFxDCoXnTm4HMFGLuAu8N33zw1w=s88-c-k-c0x00ffffff-no-rj</v>
      </c>
      <c r="AL239" s="83">
        <v>0</v>
      </c>
      <c r="AM239" s="83">
        <v>0</v>
      </c>
      <c r="AN239" s="83">
        <v>8</v>
      </c>
      <c r="AO239" s="83" t="b">
        <v>0</v>
      </c>
      <c r="AP239" s="83">
        <v>0</v>
      </c>
      <c r="AQ239" s="83"/>
      <c r="AR239" s="83"/>
      <c r="AS239" s="83" t="s">
        <v>2744</v>
      </c>
      <c r="AT239" s="89" t="str">
        <f>HYPERLINK("https://www.youtube.com/channel/UCSTJQpdl54T-zT7KY6CmJ1A")</f>
        <v>https://www.youtube.com/channel/UCSTJQpdl54T-zT7KY6CmJ1A</v>
      </c>
      <c r="AU239" s="83" t="str">
        <f>REPLACE(INDEX(GroupVertices[Group],MATCH(Vertices[[#This Row],[Vertex]],GroupVertices[Vertex],0)),1,1,"")</f>
        <v>2</v>
      </c>
      <c r="AV239" s="45"/>
      <c r="AW239" s="46"/>
      <c r="AX239" s="45"/>
      <c r="AY239" s="46"/>
      <c r="AZ239" s="45"/>
      <c r="BA239" s="46"/>
      <c r="BB239" s="45"/>
      <c r="BC239" s="46"/>
      <c r="BD239" s="45"/>
      <c r="BE239" s="110" t="s">
        <v>1874</v>
      </c>
      <c r="BF239" s="110" t="s">
        <v>1874</v>
      </c>
      <c r="BG239" s="110" t="s">
        <v>1874</v>
      </c>
      <c r="BH239" s="110" t="s">
        <v>1874</v>
      </c>
      <c r="BI239" s="2"/>
    </row>
    <row r="240" spans="1:61" ht="15">
      <c r="A240" s="61" t="s">
        <v>443</v>
      </c>
      <c r="B240" s="62" t="s">
        <v>2893</v>
      </c>
      <c r="C240" s="62"/>
      <c r="D240" s="63">
        <v>100</v>
      </c>
      <c r="E240" s="65">
        <v>50</v>
      </c>
      <c r="F240" s="100" t="str">
        <f>HYPERLINK("https://yt3.ggpht.com/ytc/AGIKgqMWbPnsB2VV2KzFCcm2pWeCKw5D5cxUFJ1P6ApY=s88-c-k-c0x00ffffff-no-rj")</f>
        <v>https://yt3.ggpht.com/ytc/AGIKgqMWbPnsB2VV2KzFCcm2pWeCKw5D5cxUFJ1P6ApY=s88-c-k-c0x00ffffff-no-rj</v>
      </c>
      <c r="G240" s="62"/>
      <c r="H240" s="66" t="s">
        <v>1281</v>
      </c>
      <c r="I240" s="67"/>
      <c r="J240" s="67" t="s">
        <v>159</v>
      </c>
      <c r="K240" s="66" t="s">
        <v>1281</v>
      </c>
      <c r="L240" s="70"/>
      <c r="M240" s="71">
        <v>2610.554443359375</v>
      </c>
      <c r="N240" s="71">
        <v>5020.5654296875</v>
      </c>
      <c r="O240" s="72"/>
      <c r="P240" s="73"/>
      <c r="Q240" s="73"/>
      <c r="R240" s="94"/>
      <c r="S240" s="45">
        <v>0</v>
      </c>
      <c r="T240" s="45">
        <v>1</v>
      </c>
      <c r="U240" s="46">
        <v>0</v>
      </c>
      <c r="V240" s="46">
        <v>0.096339</v>
      </c>
      <c r="W240" s="46">
        <v>3E-06</v>
      </c>
      <c r="X240" s="46">
        <v>0.002054</v>
      </c>
      <c r="Y240" s="46">
        <v>0</v>
      </c>
      <c r="Z240" s="46">
        <v>0</v>
      </c>
      <c r="AA240" s="68">
        <v>240</v>
      </c>
      <c r="AB240" s="68"/>
      <c r="AC240" s="69"/>
      <c r="AD240" s="83" t="s">
        <v>1281</v>
      </c>
      <c r="AE240" s="83"/>
      <c r="AF240" s="83"/>
      <c r="AG240" s="83"/>
      <c r="AH240" s="83"/>
      <c r="AI240" s="83" t="s">
        <v>2318</v>
      </c>
      <c r="AJ240" s="83" t="s">
        <v>2638</v>
      </c>
      <c r="AK240" s="89" t="str">
        <f>HYPERLINK("https://yt3.ggpht.com/ytc/AGIKgqMWbPnsB2VV2KzFCcm2pWeCKw5D5cxUFJ1P6ApY=s88-c-k-c0x00ffffff-no-rj")</f>
        <v>https://yt3.ggpht.com/ytc/AGIKgqMWbPnsB2VV2KzFCcm2pWeCKw5D5cxUFJ1P6ApY=s88-c-k-c0x00ffffff-no-rj</v>
      </c>
      <c r="AL240" s="83">
        <v>0</v>
      </c>
      <c r="AM240" s="83">
        <v>0</v>
      </c>
      <c r="AN240" s="83">
        <v>0</v>
      </c>
      <c r="AO240" s="83" t="b">
        <v>0</v>
      </c>
      <c r="AP240" s="83">
        <v>0</v>
      </c>
      <c r="AQ240" s="83"/>
      <c r="AR240" s="83"/>
      <c r="AS240" s="83" t="s">
        <v>2744</v>
      </c>
      <c r="AT240" s="89" t="str">
        <f>HYPERLINK("https://www.youtube.com/channel/UCOXYpUYts-Yt1eqnRs3jHHQ")</f>
        <v>https://www.youtube.com/channel/UCOXYpUYts-Yt1eqnRs3jHHQ</v>
      </c>
      <c r="AU240" s="83" t="str">
        <f>REPLACE(INDEX(GroupVertices[Group],MATCH(Vertices[[#This Row],[Vertex]],GroupVertices[Vertex],0)),1,1,"")</f>
        <v>2</v>
      </c>
      <c r="AV240" s="45"/>
      <c r="AW240" s="46"/>
      <c r="AX240" s="45"/>
      <c r="AY240" s="46"/>
      <c r="AZ240" s="45"/>
      <c r="BA240" s="46"/>
      <c r="BB240" s="45"/>
      <c r="BC240" s="46"/>
      <c r="BD240" s="45"/>
      <c r="BE240" s="110" t="s">
        <v>1874</v>
      </c>
      <c r="BF240" s="110" t="s">
        <v>1874</v>
      </c>
      <c r="BG240" s="110" t="s">
        <v>1874</v>
      </c>
      <c r="BH240" s="110" t="s">
        <v>1874</v>
      </c>
      <c r="BI240" s="2"/>
    </row>
    <row r="241" spans="1:61" ht="15">
      <c r="A241" s="61" t="s">
        <v>444</v>
      </c>
      <c r="B241" s="62" t="s">
        <v>2893</v>
      </c>
      <c r="C241" s="62"/>
      <c r="D241" s="63">
        <v>100</v>
      </c>
      <c r="E241" s="65">
        <v>50</v>
      </c>
      <c r="F241" s="100" t="str">
        <f>HYPERLINK("https://yt3.ggpht.com/ytc/AGIKgqOFaT3abD6OPRGbxzUxIIcKsGv2wbbW13pPPA=s88-c-k-c0x00ffffff-no-rj")</f>
        <v>https://yt3.ggpht.com/ytc/AGIKgqOFaT3abD6OPRGbxzUxIIcKsGv2wbbW13pPPA=s88-c-k-c0x00ffffff-no-rj</v>
      </c>
      <c r="G241" s="62"/>
      <c r="H241" s="66" t="s">
        <v>1282</v>
      </c>
      <c r="I241" s="67"/>
      <c r="J241" s="67" t="s">
        <v>159</v>
      </c>
      <c r="K241" s="66" t="s">
        <v>1282</v>
      </c>
      <c r="L241" s="70"/>
      <c r="M241" s="71">
        <v>5021.6611328125</v>
      </c>
      <c r="N241" s="71">
        <v>5646.9072265625</v>
      </c>
      <c r="O241" s="72"/>
      <c r="P241" s="73"/>
      <c r="Q241" s="73"/>
      <c r="R241" s="94"/>
      <c r="S241" s="45">
        <v>0</v>
      </c>
      <c r="T241" s="45">
        <v>1</v>
      </c>
      <c r="U241" s="46">
        <v>0</v>
      </c>
      <c r="V241" s="46">
        <v>0.096339</v>
      </c>
      <c r="W241" s="46">
        <v>3E-06</v>
      </c>
      <c r="X241" s="46">
        <v>0.002054</v>
      </c>
      <c r="Y241" s="46">
        <v>0</v>
      </c>
      <c r="Z241" s="46">
        <v>0</v>
      </c>
      <c r="AA241" s="68">
        <v>241</v>
      </c>
      <c r="AB241" s="68"/>
      <c r="AC241" s="69"/>
      <c r="AD241" s="83" t="s">
        <v>1282</v>
      </c>
      <c r="AE241" s="83"/>
      <c r="AF241" s="83"/>
      <c r="AG241" s="83"/>
      <c r="AH241" s="83"/>
      <c r="AI241" s="83" t="s">
        <v>2319</v>
      </c>
      <c r="AJ241" s="83" t="s">
        <v>2639</v>
      </c>
      <c r="AK241" s="89" t="str">
        <f>HYPERLINK("https://yt3.ggpht.com/ytc/AGIKgqOFaT3abD6OPRGbxzUxIIcKsGv2wbbW13pPPA=s88-c-k-c0x00ffffff-no-rj")</f>
        <v>https://yt3.ggpht.com/ytc/AGIKgqOFaT3abD6OPRGbxzUxIIcKsGv2wbbW13pPPA=s88-c-k-c0x00ffffff-no-rj</v>
      </c>
      <c r="AL241" s="83">
        <v>0</v>
      </c>
      <c r="AM241" s="83">
        <v>0</v>
      </c>
      <c r="AN241" s="83">
        <v>0</v>
      </c>
      <c r="AO241" s="83" t="b">
        <v>0</v>
      </c>
      <c r="AP241" s="83">
        <v>0</v>
      </c>
      <c r="AQ241" s="83"/>
      <c r="AR241" s="83"/>
      <c r="AS241" s="83" t="s">
        <v>2744</v>
      </c>
      <c r="AT241" s="89" t="str">
        <f>HYPERLINK("https://www.youtube.com/channel/UCJ1ApH1Sg35KKhNXtTb1NVg")</f>
        <v>https://www.youtube.com/channel/UCJ1ApH1Sg35KKhNXtTb1NVg</v>
      </c>
      <c r="AU241" s="83" t="str">
        <f>REPLACE(INDEX(GroupVertices[Group],MATCH(Vertices[[#This Row],[Vertex]],GroupVertices[Vertex],0)),1,1,"")</f>
        <v>2</v>
      </c>
      <c r="AV241" s="45"/>
      <c r="AW241" s="46"/>
      <c r="AX241" s="45"/>
      <c r="AY241" s="46"/>
      <c r="AZ241" s="45"/>
      <c r="BA241" s="46"/>
      <c r="BB241" s="45"/>
      <c r="BC241" s="46"/>
      <c r="BD241" s="45"/>
      <c r="BE241" s="110" t="s">
        <v>1874</v>
      </c>
      <c r="BF241" s="110" t="s">
        <v>1874</v>
      </c>
      <c r="BG241" s="110" t="s">
        <v>1874</v>
      </c>
      <c r="BH241" s="110" t="s">
        <v>1874</v>
      </c>
      <c r="BI241" s="2"/>
    </row>
    <row r="242" spans="1:61" ht="15">
      <c r="A242" s="61" t="s">
        <v>445</v>
      </c>
      <c r="B242" s="62" t="s">
        <v>2893</v>
      </c>
      <c r="C242" s="62"/>
      <c r="D242" s="63">
        <v>100</v>
      </c>
      <c r="E242" s="65">
        <v>50</v>
      </c>
      <c r="F242" s="100" t="str">
        <f>HYPERLINK("https://yt3.ggpht.com/nfn9JQ0AvXluLai1pWkoK0-J9FfFM3xn4h6xxiXOUt8yqBiP0g7v-xKaIhsC1Yx6VSxUa9Cl=s88-c-k-c0x00ffffff-no-rj")</f>
        <v>https://yt3.ggpht.com/nfn9JQ0AvXluLai1pWkoK0-J9FfFM3xn4h6xxiXOUt8yqBiP0g7v-xKaIhsC1Yx6VSxUa9Cl=s88-c-k-c0x00ffffff-no-rj</v>
      </c>
      <c r="G242" s="62"/>
      <c r="H242" s="66" t="s">
        <v>1283</v>
      </c>
      <c r="I242" s="67"/>
      <c r="J242" s="67" t="s">
        <v>159</v>
      </c>
      <c r="K242" s="66" t="s">
        <v>1283</v>
      </c>
      <c r="L242" s="70"/>
      <c r="M242" s="71">
        <v>4720.2724609375</v>
      </c>
      <c r="N242" s="71">
        <v>5646.9072265625</v>
      </c>
      <c r="O242" s="72"/>
      <c r="P242" s="73"/>
      <c r="Q242" s="73"/>
      <c r="R242" s="94"/>
      <c r="S242" s="45">
        <v>0</v>
      </c>
      <c r="T242" s="45">
        <v>1</v>
      </c>
      <c r="U242" s="46">
        <v>0</v>
      </c>
      <c r="V242" s="46">
        <v>0.096339</v>
      </c>
      <c r="W242" s="46">
        <v>3E-06</v>
      </c>
      <c r="X242" s="46">
        <v>0.002054</v>
      </c>
      <c r="Y242" s="46">
        <v>0</v>
      </c>
      <c r="Z242" s="46">
        <v>0</v>
      </c>
      <c r="AA242" s="68">
        <v>242</v>
      </c>
      <c r="AB242" s="68"/>
      <c r="AC242" s="69"/>
      <c r="AD242" s="83" t="s">
        <v>1283</v>
      </c>
      <c r="AE242" s="83"/>
      <c r="AF242" s="83"/>
      <c r="AG242" s="83"/>
      <c r="AH242" s="83"/>
      <c r="AI242" s="83" t="s">
        <v>2320</v>
      </c>
      <c r="AJ242" s="83" t="s">
        <v>2640</v>
      </c>
      <c r="AK242" s="89" t="str">
        <f>HYPERLINK("https://yt3.ggpht.com/nfn9JQ0AvXluLai1pWkoK0-J9FfFM3xn4h6xxiXOUt8yqBiP0g7v-xKaIhsC1Yx6VSxUa9Cl=s88-c-k-c0x00ffffff-no-rj")</f>
        <v>https://yt3.ggpht.com/nfn9JQ0AvXluLai1pWkoK0-J9FfFM3xn4h6xxiXOUt8yqBiP0g7v-xKaIhsC1Yx6VSxUa9Cl=s88-c-k-c0x00ffffff-no-rj</v>
      </c>
      <c r="AL242" s="83">
        <v>26902</v>
      </c>
      <c r="AM242" s="83">
        <v>0</v>
      </c>
      <c r="AN242" s="83">
        <v>41</v>
      </c>
      <c r="AO242" s="83" t="b">
        <v>0</v>
      </c>
      <c r="AP242" s="83">
        <v>82</v>
      </c>
      <c r="AQ242" s="83"/>
      <c r="AR242" s="83"/>
      <c r="AS242" s="83" t="s">
        <v>2744</v>
      </c>
      <c r="AT242" s="89" t="str">
        <f>HYPERLINK("https://www.youtube.com/channel/UClP4aIHvSOEzpH0AmDUrcDQ")</f>
        <v>https://www.youtube.com/channel/UClP4aIHvSOEzpH0AmDUrcDQ</v>
      </c>
      <c r="AU242" s="83" t="str">
        <f>REPLACE(INDEX(GroupVertices[Group],MATCH(Vertices[[#This Row],[Vertex]],GroupVertices[Vertex],0)),1,1,"")</f>
        <v>2</v>
      </c>
      <c r="AV242" s="45"/>
      <c r="AW242" s="46"/>
      <c r="AX242" s="45"/>
      <c r="AY242" s="46"/>
      <c r="AZ242" s="45"/>
      <c r="BA242" s="46"/>
      <c r="BB242" s="45"/>
      <c r="BC242" s="46"/>
      <c r="BD242" s="45"/>
      <c r="BE242" s="110" t="s">
        <v>1874</v>
      </c>
      <c r="BF242" s="110" t="s">
        <v>1874</v>
      </c>
      <c r="BG242" s="110" t="s">
        <v>1874</v>
      </c>
      <c r="BH242" s="110" t="s">
        <v>1874</v>
      </c>
      <c r="BI242" s="2"/>
    </row>
    <row r="243" spans="1:61" ht="15">
      <c r="A243" s="61" t="s">
        <v>446</v>
      </c>
      <c r="B243" s="62" t="s">
        <v>2893</v>
      </c>
      <c r="C243" s="62"/>
      <c r="D243" s="63">
        <v>100</v>
      </c>
      <c r="E243" s="65">
        <v>50</v>
      </c>
      <c r="F243" s="100" t="str">
        <f>HYPERLINK("https://yt3.ggpht.com/ytc/AGIKgqMMNiNpaUI0lsHbvgUpupRhqCK46q3LaeSmQA=s88-c-k-c0x00ffffff-no-rj")</f>
        <v>https://yt3.ggpht.com/ytc/AGIKgqMMNiNpaUI0lsHbvgUpupRhqCK46q3LaeSmQA=s88-c-k-c0x00ffffff-no-rj</v>
      </c>
      <c r="G243" s="62"/>
      <c r="H243" s="66" t="s">
        <v>1284</v>
      </c>
      <c r="I243" s="67"/>
      <c r="J243" s="67" t="s">
        <v>159</v>
      </c>
      <c r="K243" s="66" t="s">
        <v>1284</v>
      </c>
      <c r="L243" s="70"/>
      <c r="M243" s="71">
        <v>4418.88427734375</v>
      </c>
      <c r="N243" s="71">
        <v>5646.9072265625</v>
      </c>
      <c r="O243" s="72"/>
      <c r="P243" s="73"/>
      <c r="Q243" s="73"/>
      <c r="R243" s="94"/>
      <c r="S243" s="45">
        <v>0</v>
      </c>
      <c r="T243" s="45">
        <v>1</v>
      </c>
      <c r="U243" s="46">
        <v>0</v>
      </c>
      <c r="V243" s="46">
        <v>0.096339</v>
      </c>
      <c r="W243" s="46">
        <v>3E-06</v>
      </c>
      <c r="X243" s="46">
        <v>0.002054</v>
      </c>
      <c r="Y243" s="46">
        <v>0</v>
      </c>
      <c r="Z243" s="46">
        <v>0</v>
      </c>
      <c r="AA243" s="68">
        <v>243</v>
      </c>
      <c r="AB243" s="68"/>
      <c r="AC243" s="69"/>
      <c r="AD243" s="83" t="s">
        <v>1284</v>
      </c>
      <c r="AE243" s="83"/>
      <c r="AF243" s="83"/>
      <c r="AG243" s="83"/>
      <c r="AH243" s="83"/>
      <c r="AI243" s="83" t="s">
        <v>2321</v>
      </c>
      <c r="AJ243" s="83" t="s">
        <v>2641</v>
      </c>
      <c r="AK243" s="89" t="str">
        <f>HYPERLINK("https://yt3.ggpht.com/ytc/AGIKgqMMNiNpaUI0lsHbvgUpupRhqCK46q3LaeSmQA=s88-c-k-c0x00ffffff-no-rj")</f>
        <v>https://yt3.ggpht.com/ytc/AGIKgqMMNiNpaUI0lsHbvgUpupRhqCK46q3LaeSmQA=s88-c-k-c0x00ffffff-no-rj</v>
      </c>
      <c r="AL243" s="83">
        <v>0</v>
      </c>
      <c r="AM243" s="83">
        <v>0</v>
      </c>
      <c r="AN243" s="83">
        <v>0</v>
      </c>
      <c r="AO243" s="83" t="b">
        <v>0</v>
      </c>
      <c r="AP243" s="83">
        <v>0</v>
      </c>
      <c r="AQ243" s="83"/>
      <c r="AR243" s="83"/>
      <c r="AS243" s="83" t="s">
        <v>2744</v>
      </c>
      <c r="AT243" s="89" t="str">
        <f>HYPERLINK("https://www.youtube.com/channel/UCIRJt-3LzwPf7zhPitIrF5g")</f>
        <v>https://www.youtube.com/channel/UCIRJt-3LzwPf7zhPitIrF5g</v>
      </c>
      <c r="AU243" s="83" t="str">
        <f>REPLACE(INDEX(GroupVertices[Group],MATCH(Vertices[[#This Row],[Vertex]],GroupVertices[Vertex],0)),1,1,"")</f>
        <v>2</v>
      </c>
      <c r="AV243" s="45"/>
      <c r="AW243" s="46"/>
      <c r="AX243" s="45"/>
      <c r="AY243" s="46"/>
      <c r="AZ243" s="45"/>
      <c r="BA243" s="46"/>
      <c r="BB243" s="45"/>
      <c r="BC243" s="46"/>
      <c r="BD243" s="45"/>
      <c r="BE243" s="110" t="s">
        <v>1874</v>
      </c>
      <c r="BF243" s="110" t="s">
        <v>1874</v>
      </c>
      <c r="BG243" s="110" t="s">
        <v>1874</v>
      </c>
      <c r="BH243" s="110" t="s">
        <v>1874</v>
      </c>
      <c r="BI243" s="2"/>
    </row>
    <row r="244" spans="1:61" ht="15">
      <c r="A244" s="61" t="s">
        <v>447</v>
      </c>
      <c r="B244" s="62" t="s">
        <v>2893</v>
      </c>
      <c r="C244" s="62"/>
      <c r="D244" s="63">
        <v>100</v>
      </c>
      <c r="E244" s="65">
        <v>50</v>
      </c>
      <c r="F244" s="100" t="str">
        <f>HYPERLINK("https://yt3.ggpht.com/ytc/AGIKgqO_-wzoCMqzQwJHhDSS5iGIioLZp2cYlIWuwJu29Q=s88-c-k-c0x00ffffff-no-rj")</f>
        <v>https://yt3.ggpht.com/ytc/AGIKgqO_-wzoCMqzQwJHhDSS5iGIioLZp2cYlIWuwJu29Q=s88-c-k-c0x00ffffff-no-rj</v>
      </c>
      <c r="G244" s="62"/>
      <c r="H244" s="66" t="s">
        <v>1285</v>
      </c>
      <c r="I244" s="67"/>
      <c r="J244" s="67" t="s">
        <v>159</v>
      </c>
      <c r="K244" s="66" t="s">
        <v>1285</v>
      </c>
      <c r="L244" s="70"/>
      <c r="M244" s="71">
        <v>4117.49609375</v>
      </c>
      <c r="N244" s="71">
        <v>5646.9072265625</v>
      </c>
      <c r="O244" s="72"/>
      <c r="P244" s="73"/>
      <c r="Q244" s="73"/>
      <c r="R244" s="94"/>
      <c r="S244" s="45">
        <v>0</v>
      </c>
      <c r="T244" s="45">
        <v>1</v>
      </c>
      <c r="U244" s="46">
        <v>0</v>
      </c>
      <c r="V244" s="46">
        <v>0.096339</v>
      </c>
      <c r="W244" s="46">
        <v>3E-06</v>
      </c>
      <c r="X244" s="46">
        <v>0.002054</v>
      </c>
      <c r="Y244" s="46">
        <v>0</v>
      </c>
      <c r="Z244" s="46">
        <v>0</v>
      </c>
      <c r="AA244" s="68">
        <v>244</v>
      </c>
      <c r="AB244" s="68"/>
      <c r="AC244" s="69"/>
      <c r="AD244" s="83" t="s">
        <v>1285</v>
      </c>
      <c r="AE244" s="83"/>
      <c r="AF244" s="83"/>
      <c r="AG244" s="83"/>
      <c r="AH244" s="83"/>
      <c r="AI244" s="83" t="s">
        <v>2322</v>
      </c>
      <c r="AJ244" s="83" t="s">
        <v>2642</v>
      </c>
      <c r="AK244" s="89" t="str">
        <f>HYPERLINK("https://yt3.ggpht.com/ytc/AGIKgqO_-wzoCMqzQwJHhDSS5iGIioLZp2cYlIWuwJu29Q=s88-c-k-c0x00ffffff-no-rj")</f>
        <v>https://yt3.ggpht.com/ytc/AGIKgqO_-wzoCMqzQwJHhDSS5iGIioLZp2cYlIWuwJu29Q=s88-c-k-c0x00ffffff-no-rj</v>
      </c>
      <c r="AL244" s="83">
        <v>7</v>
      </c>
      <c r="AM244" s="83">
        <v>0</v>
      </c>
      <c r="AN244" s="83">
        <v>1</v>
      </c>
      <c r="AO244" s="83" t="b">
        <v>0</v>
      </c>
      <c r="AP244" s="83">
        <v>1</v>
      </c>
      <c r="AQ244" s="83"/>
      <c r="AR244" s="83"/>
      <c r="AS244" s="83" t="s">
        <v>2744</v>
      </c>
      <c r="AT244" s="89" t="str">
        <f>HYPERLINK("https://www.youtube.com/channel/UC8S_OHhL9LUHNqrpP1JBb7w")</f>
        <v>https://www.youtube.com/channel/UC8S_OHhL9LUHNqrpP1JBb7w</v>
      </c>
      <c r="AU244" s="83" t="str">
        <f>REPLACE(INDEX(GroupVertices[Group],MATCH(Vertices[[#This Row],[Vertex]],GroupVertices[Vertex],0)),1,1,"")</f>
        <v>2</v>
      </c>
      <c r="AV244" s="45"/>
      <c r="AW244" s="46"/>
      <c r="AX244" s="45"/>
      <c r="AY244" s="46"/>
      <c r="AZ244" s="45"/>
      <c r="BA244" s="46"/>
      <c r="BB244" s="45"/>
      <c r="BC244" s="46"/>
      <c r="BD244" s="45"/>
      <c r="BE244" s="110" t="s">
        <v>1874</v>
      </c>
      <c r="BF244" s="110" t="s">
        <v>1874</v>
      </c>
      <c r="BG244" s="110" t="s">
        <v>1874</v>
      </c>
      <c r="BH244" s="110" t="s">
        <v>1874</v>
      </c>
      <c r="BI244" s="2"/>
    </row>
    <row r="245" spans="1:61" ht="15">
      <c r="A245" s="61" t="s">
        <v>448</v>
      </c>
      <c r="B245" s="62" t="s">
        <v>2893</v>
      </c>
      <c r="C245" s="62"/>
      <c r="D245" s="63">
        <v>100</v>
      </c>
      <c r="E245" s="65">
        <v>50</v>
      </c>
      <c r="F245" s="100" t="str">
        <f>HYPERLINK("https://yt3.ggpht.com/ytc/AGIKgqORSh8SJ9lXvW0f_e3U6oTPN1r8MaTe7UxeNoqN=s88-c-k-c0x00ffffff-no-rj")</f>
        <v>https://yt3.ggpht.com/ytc/AGIKgqORSh8SJ9lXvW0f_e3U6oTPN1r8MaTe7UxeNoqN=s88-c-k-c0x00ffffff-no-rj</v>
      </c>
      <c r="G245" s="62"/>
      <c r="H245" s="66" t="s">
        <v>1286</v>
      </c>
      <c r="I245" s="67"/>
      <c r="J245" s="67" t="s">
        <v>159</v>
      </c>
      <c r="K245" s="66" t="s">
        <v>1286</v>
      </c>
      <c r="L245" s="70"/>
      <c r="M245" s="71">
        <v>3816.107666015625</v>
      </c>
      <c r="N245" s="71">
        <v>5646.9072265625</v>
      </c>
      <c r="O245" s="72"/>
      <c r="P245" s="73"/>
      <c r="Q245" s="73"/>
      <c r="R245" s="94"/>
      <c r="S245" s="45">
        <v>0</v>
      </c>
      <c r="T245" s="45">
        <v>1</v>
      </c>
      <c r="U245" s="46">
        <v>0</v>
      </c>
      <c r="V245" s="46">
        <v>0.096339</v>
      </c>
      <c r="W245" s="46">
        <v>3E-06</v>
      </c>
      <c r="X245" s="46">
        <v>0.002054</v>
      </c>
      <c r="Y245" s="46">
        <v>0</v>
      </c>
      <c r="Z245" s="46">
        <v>0</v>
      </c>
      <c r="AA245" s="68">
        <v>245</v>
      </c>
      <c r="AB245" s="68"/>
      <c r="AC245" s="69"/>
      <c r="AD245" s="83" t="s">
        <v>1286</v>
      </c>
      <c r="AE245" s="83"/>
      <c r="AF245" s="83"/>
      <c r="AG245" s="83"/>
      <c r="AH245" s="83"/>
      <c r="AI245" s="83" t="s">
        <v>2323</v>
      </c>
      <c r="AJ245" s="83" t="s">
        <v>2643</v>
      </c>
      <c r="AK245" s="89" t="str">
        <f>HYPERLINK("https://yt3.ggpht.com/ytc/AGIKgqORSh8SJ9lXvW0f_e3U6oTPN1r8MaTe7UxeNoqN=s88-c-k-c0x00ffffff-no-rj")</f>
        <v>https://yt3.ggpht.com/ytc/AGIKgqORSh8SJ9lXvW0f_e3U6oTPN1r8MaTe7UxeNoqN=s88-c-k-c0x00ffffff-no-rj</v>
      </c>
      <c r="AL245" s="83">
        <v>16375</v>
      </c>
      <c r="AM245" s="83">
        <v>0</v>
      </c>
      <c r="AN245" s="83">
        <v>9</v>
      </c>
      <c r="AO245" s="83" t="b">
        <v>0</v>
      </c>
      <c r="AP245" s="83">
        <v>9</v>
      </c>
      <c r="AQ245" s="83"/>
      <c r="AR245" s="83"/>
      <c r="AS245" s="83" t="s">
        <v>2744</v>
      </c>
      <c r="AT245" s="89" t="str">
        <f>HYPERLINK("https://www.youtube.com/channel/UCx9V8F0H9tU2sgHRd9kpAuA")</f>
        <v>https://www.youtube.com/channel/UCx9V8F0H9tU2sgHRd9kpAuA</v>
      </c>
      <c r="AU245" s="83" t="str">
        <f>REPLACE(INDEX(GroupVertices[Group],MATCH(Vertices[[#This Row],[Vertex]],GroupVertices[Vertex],0)),1,1,"")</f>
        <v>2</v>
      </c>
      <c r="AV245" s="45"/>
      <c r="AW245" s="46"/>
      <c r="AX245" s="45"/>
      <c r="AY245" s="46"/>
      <c r="AZ245" s="45"/>
      <c r="BA245" s="46"/>
      <c r="BB245" s="45"/>
      <c r="BC245" s="46"/>
      <c r="BD245" s="45"/>
      <c r="BE245" s="110" t="s">
        <v>1874</v>
      </c>
      <c r="BF245" s="110" t="s">
        <v>1874</v>
      </c>
      <c r="BG245" s="110" t="s">
        <v>1874</v>
      </c>
      <c r="BH245" s="110" t="s">
        <v>1874</v>
      </c>
      <c r="BI245" s="2"/>
    </row>
    <row r="246" spans="1:61" ht="15">
      <c r="A246" s="61" t="s">
        <v>449</v>
      </c>
      <c r="B246" s="62" t="s">
        <v>2893</v>
      </c>
      <c r="C246" s="62"/>
      <c r="D246" s="63">
        <v>100</v>
      </c>
      <c r="E246" s="65">
        <v>50</v>
      </c>
      <c r="F246" s="100" t="str">
        <f>HYPERLINK("https://yt3.ggpht.com/ytc/AGIKgqPvrdPd6vy23j-N80aN6gePXQnk7lIkX4Dy=s88-c-k-c0x00ffffff-no-rj")</f>
        <v>https://yt3.ggpht.com/ytc/AGIKgqPvrdPd6vy23j-N80aN6gePXQnk7lIkX4Dy=s88-c-k-c0x00ffffff-no-rj</v>
      </c>
      <c r="G246" s="62"/>
      <c r="H246" s="66" t="s">
        <v>1287</v>
      </c>
      <c r="I246" s="67"/>
      <c r="J246" s="67" t="s">
        <v>159</v>
      </c>
      <c r="K246" s="66" t="s">
        <v>1287</v>
      </c>
      <c r="L246" s="70"/>
      <c r="M246" s="71">
        <v>3514.719482421875</v>
      </c>
      <c r="N246" s="71">
        <v>5646.9072265625</v>
      </c>
      <c r="O246" s="72"/>
      <c r="P246" s="73"/>
      <c r="Q246" s="73"/>
      <c r="R246" s="94"/>
      <c r="S246" s="45">
        <v>0</v>
      </c>
      <c r="T246" s="45">
        <v>1</v>
      </c>
      <c r="U246" s="46">
        <v>0</v>
      </c>
      <c r="V246" s="46">
        <v>0.096339</v>
      </c>
      <c r="W246" s="46">
        <v>3E-06</v>
      </c>
      <c r="X246" s="46">
        <v>0.002054</v>
      </c>
      <c r="Y246" s="46">
        <v>0</v>
      </c>
      <c r="Z246" s="46">
        <v>0</v>
      </c>
      <c r="AA246" s="68">
        <v>246</v>
      </c>
      <c r="AB246" s="68"/>
      <c r="AC246" s="69"/>
      <c r="AD246" s="83" t="s">
        <v>1287</v>
      </c>
      <c r="AE246" s="83"/>
      <c r="AF246" s="83"/>
      <c r="AG246" s="83"/>
      <c r="AH246" s="83"/>
      <c r="AI246" s="83" t="s">
        <v>2324</v>
      </c>
      <c r="AJ246" s="83" t="s">
        <v>2644</v>
      </c>
      <c r="AK246" s="89" t="str">
        <f>HYPERLINK("https://yt3.ggpht.com/ytc/AGIKgqPvrdPd6vy23j-N80aN6gePXQnk7lIkX4Dy=s88-c-k-c0x00ffffff-no-rj")</f>
        <v>https://yt3.ggpht.com/ytc/AGIKgqPvrdPd6vy23j-N80aN6gePXQnk7lIkX4Dy=s88-c-k-c0x00ffffff-no-rj</v>
      </c>
      <c r="AL246" s="83">
        <v>0</v>
      </c>
      <c r="AM246" s="83">
        <v>0</v>
      </c>
      <c r="AN246" s="83">
        <v>0</v>
      </c>
      <c r="AO246" s="83" t="b">
        <v>0</v>
      </c>
      <c r="AP246" s="83">
        <v>0</v>
      </c>
      <c r="AQ246" s="83"/>
      <c r="AR246" s="83"/>
      <c r="AS246" s="83" t="s">
        <v>2744</v>
      </c>
      <c r="AT246" s="89" t="str">
        <f>HYPERLINK("https://www.youtube.com/channel/UCms8qXNIZGGtMOGhqzgQ_dg")</f>
        <v>https://www.youtube.com/channel/UCms8qXNIZGGtMOGhqzgQ_dg</v>
      </c>
      <c r="AU246" s="83" t="str">
        <f>REPLACE(INDEX(GroupVertices[Group],MATCH(Vertices[[#This Row],[Vertex]],GroupVertices[Vertex],0)),1,1,"")</f>
        <v>2</v>
      </c>
      <c r="AV246" s="45"/>
      <c r="AW246" s="46"/>
      <c r="AX246" s="45"/>
      <c r="AY246" s="46"/>
      <c r="AZ246" s="45"/>
      <c r="BA246" s="46"/>
      <c r="BB246" s="45"/>
      <c r="BC246" s="46"/>
      <c r="BD246" s="45"/>
      <c r="BE246" s="110" t="s">
        <v>1874</v>
      </c>
      <c r="BF246" s="110" t="s">
        <v>1874</v>
      </c>
      <c r="BG246" s="110" t="s">
        <v>1874</v>
      </c>
      <c r="BH246" s="110" t="s">
        <v>1874</v>
      </c>
      <c r="BI246" s="2"/>
    </row>
    <row r="247" spans="1:61" ht="15">
      <c r="A247" s="61" t="s">
        <v>450</v>
      </c>
      <c r="B247" s="62" t="s">
        <v>2893</v>
      </c>
      <c r="C247" s="62"/>
      <c r="D247" s="63">
        <v>100</v>
      </c>
      <c r="E247" s="65">
        <v>50</v>
      </c>
      <c r="F247" s="100" t="str">
        <f>HYPERLINK("https://yt3.ggpht.com/ytc/AGIKgqPH_9T-R2dw3LsZsj5hat7vYBr2AO8riWvlqf0b93I=s88-c-k-c0x00ffffff-no-rj")</f>
        <v>https://yt3.ggpht.com/ytc/AGIKgqPH_9T-R2dw3LsZsj5hat7vYBr2AO8riWvlqf0b93I=s88-c-k-c0x00ffffff-no-rj</v>
      </c>
      <c r="G247" s="62"/>
      <c r="H247" s="66" t="s">
        <v>1288</v>
      </c>
      <c r="I247" s="67"/>
      <c r="J247" s="67" t="s">
        <v>159</v>
      </c>
      <c r="K247" s="66" t="s">
        <v>1288</v>
      </c>
      <c r="L247" s="70"/>
      <c r="M247" s="71">
        <v>3213.3310546875</v>
      </c>
      <c r="N247" s="71">
        <v>5646.9072265625</v>
      </c>
      <c r="O247" s="72"/>
      <c r="P247" s="73"/>
      <c r="Q247" s="73"/>
      <c r="R247" s="94"/>
      <c r="S247" s="45">
        <v>0</v>
      </c>
      <c r="T247" s="45">
        <v>1</v>
      </c>
      <c r="U247" s="46">
        <v>0</v>
      </c>
      <c r="V247" s="46">
        <v>0.096339</v>
      </c>
      <c r="W247" s="46">
        <v>3E-06</v>
      </c>
      <c r="X247" s="46">
        <v>0.002054</v>
      </c>
      <c r="Y247" s="46">
        <v>0</v>
      </c>
      <c r="Z247" s="46">
        <v>0</v>
      </c>
      <c r="AA247" s="68">
        <v>247</v>
      </c>
      <c r="AB247" s="68"/>
      <c r="AC247" s="69"/>
      <c r="AD247" s="83" t="s">
        <v>1288</v>
      </c>
      <c r="AE247" s="83"/>
      <c r="AF247" s="83"/>
      <c r="AG247" s="83"/>
      <c r="AH247" s="83"/>
      <c r="AI247" s="83" t="s">
        <v>2325</v>
      </c>
      <c r="AJ247" s="83" t="s">
        <v>2645</v>
      </c>
      <c r="AK247" s="89" t="str">
        <f>HYPERLINK("https://yt3.ggpht.com/ytc/AGIKgqPH_9T-R2dw3LsZsj5hat7vYBr2AO8riWvlqf0b93I=s88-c-k-c0x00ffffff-no-rj")</f>
        <v>https://yt3.ggpht.com/ytc/AGIKgqPH_9T-R2dw3LsZsj5hat7vYBr2AO8riWvlqf0b93I=s88-c-k-c0x00ffffff-no-rj</v>
      </c>
      <c r="AL247" s="83">
        <v>0</v>
      </c>
      <c r="AM247" s="83">
        <v>0</v>
      </c>
      <c r="AN247" s="83">
        <v>0</v>
      </c>
      <c r="AO247" s="83" t="b">
        <v>0</v>
      </c>
      <c r="AP247" s="83">
        <v>0</v>
      </c>
      <c r="AQ247" s="83"/>
      <c r="AR247" s="83"/>
      <c r="AS247" s="83" t="s">
        <v>2744</v>
      </c>
      <c r="AT247" s="89" t="str">
        <f>HYPERLINK("https://www.youtube.com/channel/UCf5igCIlbW-63caczX4QvNw")</f>
        <v>https://www.youtube.com/channel/UCf5igCIlbW-63caczX4QvNw</v>
      </c>
      <c r="AU247" s="83" t="str">
        <f>REPLACE(INDEX(GroupVertices[Group],MATCH(Vertices[[#This Row],[Vertex]],GroupVertices[Vertex],0)),1,1,"")</f>
        <v>2</v>
      </c>
      <c r="AV247" s="45"/>
      <c r="AW247" s="46"/>
      <c r="AX247" s="45"/>
      <c r="AY247" s="46"/>
      <c r="AZ247" s="45"/>
      <c r="BA247" s="46"/>
      <c r="BB247" s="45"/>
      <c r="BC247" s="46"/>
      <c r="BD247" s="45"/>
      <c r="BE247" s="110" t="s">
        <v>1874</v>
      </c>
      <c r="BF247" s="110" t="s">
        <v>1874</v>
      </c>
      <c r="BG247" s="110" t="s">
        <v>1874</v>
      </c>
      <c r="BH247" s="110" t="s">
        <v>1874</v>
      </c>
      <c r="BI247" s="2"/>
    </row>
    <row r="248" spans="1:61" ht="15">
      <c r="A248" s="61" t="s">
        <v>451</v>
      </c>
      <c r="B248" s="62" t="s">
        <v>2893</v>
      </c>
      <c r="C248" s="62"/>
      <c r="D248" s="63">
        <v>100</v>
      </c>
      <c r="E248" s="65">
        <v>50</v>
      </c>
      <c r="F248" s="100" t="str">
        <f>HYPERLINK("https://yt3.ggpht.com/ytc/AGIKgqNLQ0TykcObhqE9N6jPxeAKcqAh38K3zjJOOA=s88-c-k-c0x00ffffff-no-rj")</f>
        <v>https://yt3.ggpht.com/ytc/AGIKgqNLQ0TykcObhqE9N6jPxeAKcqAh38K3zjJOOA=s88-c-k-c0x00ffffff-no-rj</v>
      </c>
      <c r="G248" s="62"/>
      <c r="H248" s="66" t="s">
        <v>1289</v>
      </c>
      <c r="I248" s="67"/>
      <c r="J248" s="67" t="s">
        <v>159</v>
      </c>
      <c r="K248" s="66" t="s">
        <v>1289</v>
      </c>
      <c r="L248" s="70"/>
      <c r="M248" s="71">
        <v>2911.94287109375</v>
      </c>
      <c r="N248" s="71">
        <v>5646.9072265625</v>
      </c>
      <c r="O248" s="72"/>
      <c r="P248" s="73"/>
      <c r="Q248" s="73"/>
      <c r="R248" s="94"/>
      <c r="S248" s="45">
        <v>0</v>
      </c>
      <c r="T248" s="45">
        <v>1</v>
      </c>
      <c r="U248" s="46">
        <v>0</v>
      </c>
      <c r="V248" s="46">
        <v>0.096339</v>
      </c>
      <c r="W248" s="46">
        <v>3E-06</v>
      </c>
      <c r="X248" s="46">
        <v>0.002054</v>
      </c>
      <c r="Y248" s="46">
        <v>0</v>
      </c>
      <c r="Z248" s="46">
        <v>0</v>
      </c>
      <c r="AA248" s="68">
        <v>248</v>
      </c>
      <c r="AB248" s="68"/>
      <c r="AC248" s="69"/>
      <c r="AD248" s="83" t="s">
        <v>1289</v>
      </c>
      <c r="AE248" s="83"/>
      <c r="AF248" s="83"/>
      <c r="AG248" s="83"/>
      <c r="AH248" s="83"/>
      <c r="AI248" s="83" t="s">
        <v>2326</v>
      </c>
      <c r="AJ248" s="83" t="s">
        <v>2646</v>
      </c>
      <c r="AK248" s="89" t="str">
        <f>HYPERLINK("https://yt3.ggpht.com/ytc/AGIKgqNLQ0TykcObhqE9N6jPxeAKcqAh38K3zjJOOA=s88-c-k-c0x00ffffff-no-rj")</f>
        <v>https://yt3.ggpht.com/ytc/AGIKgqNLQ0TykcObhqE9N6jPxeAKcqAh38K3zjJOOA=s88-c-k-c0x00ffffff-no-rj</v>
      </c>
      <c r="AL248" s="83">
        <v>0</v>
      </c>
      <c r="AM248" s="83">
        <v>0</v>
      </c>
      <c r="AN248" s="83">
        <v>1</v>
      </c>
      <c r="AO248" s="83" t="b">
        <v>0</v>
      </c>
      <c r="AP248" s="83">
        <v>0</v>
      </c>
      <c r="AQ248" s="83"/>
      <c r="AR248" s="83"/>
      <c r="AS248" s="83" t="s">
        <v>2744</v>
      </c>
      <c r="AT248" s="89" t="str">
        <f>HYPERLINK("https://www.youtube.com/channel/UCE4dQSL_rNeuCUyOvkczHNQ")</f>
        <v>https://www.youtube.com/channel/UCE4dQSL_rNeuCUyOvkczHNQ</v>
      </c>
      <c r="AU248" s="83" t="str">
        <f>REPLACE(INDEX(GroupVertices[Group],MATCH(Vertices[[#This Row],[Vertex]],GroupVertices[Vertex],0)),1,1,"")</f>
        <v>2</v>
      </c>
      <c r="AV248" s="45"/>
      <c r="AW248" s="46"/>
      <c r="AX248" s="45"/>
      <c r="AY248" s="46"/>
      <c r="AZ248" s="45"/>
      <c r="BA248" s="46"/>
      <c r="BB248" s="45"/>
      <c r="BC248" s="46"/>
      <c r="BD248" s="45"/>
      <c r="BE248" s="110" t="s">
        <v>1874</v>
      </c>
      <c r="BF248" s="110" t="s">
        <v>1874</v>
      </c>
      <c r="BG248" s="110" t="s">
        <v>1874</v>
      </c>
      <c r="BH248" s="110" t="s">
        <v>1874</v>
      </c>
      <c r="BI248" s="2"/>
    </row>
    <row r="249" spans="1:61" ht="15">
      <c r="A249" s="61" t="s">
        <v>452</v>
      </c>
      <c r="B249" s="62" t="s">
        <v>2893</v>
      </c>
      <c r="C249" s="62"/>
      <c r="D249" s="63">
        <v>100</v>
      </c>
      <c r="E249" s="65">
        <v>50</v>
      </c>
      <c r="F249" s="100" t="str">
        <f>HYPERLINK("https://yt3.ggpht.com/ytc/AGIKgqNbHtwd6wMywMMlc23S1mHFkXzY29qMV7iQIA=s88-c-k-c0x00ffffff-no-rj")</f>
        <v>https://yt3.ggpht.com/ytc/AGIKgqNbHtwd6wMywMMlc23S1mHFkXzY29qMV7iQIA=s88-c-k-c0x00ffffff-no-rj</v>
      </c>
      <c r="G249" s="62"/>
      <c r="H249" s="66" t="s">
        <v>1290</v>
      </c>
      <c r="I249" s="67"/>
      <c r="J249" s="67" t="s">
        <v>159</v>
      </c>
      <c r="K249" s="66" t="s">
        <v>1290</v>
      </c>
      <c r="L249" s="70"/>
      <c r="M249" s="71">
        <v>2610.554443359375</v>
      </c>
      <c r="N249" s="71">
        <v>5646.9072265625</v>
      </c>
      <c r="O249" s="72"/>
      <c r="P249" s="73"/>
      <c r="Q249" s="73"/>
      <c r="R249" s="94"/>
      <c r="S249" s="45">
        <v>0</v>
      </c>
      <c r="T249" s="45">
        <v>1</v>
      </c>
      <c r="U249" s="46">
        <v>0</v>
      </c>
      <c r="V249" s="46">
        <v>0.096339</v>
      </c>
      <c r="W249" s="46">
        <v>3E-06</v>
      </c>
      <c r="X249" s="46">
        <v>0.002054</v>
      </c>
      <c r="Y249" s="46">
        <v>0</v>
      </c>
      <c r="Z249" s="46">
        <v>0</v>
      </c>
      <c r="AA249" s="68">
        <v>249</v>
      </c>
      <c r="AB249" s="68"/>
      <c r="AC249" s="69"/>
      <c r="AD249" s="83" t="s">
        <v>1290</v>
      </c>
      <c r="AE249" s="83"/>
      <c r="AF249" s="83"/>
      <c r="AG249" s="83"/>
      <c r="AH249" s="83"/>
      <c r="AI249" s="83" t="s">
        <v>2327</v>
      </c>
      <c r="AJ249" s="83" t="s">
        <v>2647</v>
      </c>
      <c r="AK249" s="89" t="str">
        <f>HYPERLINK("https://yt3.ggpht.com/ytc/AGIKgqNbHtwd6wMywMMlc23S1mHFkXzY29qMV7iQIA=s88-c-k-c0x00ffffff-no-rj")</f>
        <v>https://yt3.ggpht.com/ytc/AGIKgqNbHtwd6wMywMMlc23S1mHFkXzY29qMV7iQIA=s88-c-k-c0x00ffffff-no-rj</v>
      </c>
      <c r="AL249" s="83">
        <v>0</v>
      </c>
      <c r="AM249" s="83">
        <v>0</v>
      </c>
      <c r="AN249" s="83">
        <v>0</v>
      </c>
      <c r="AO249" s="83" t="b">
        <v>0</v>
      </c>
      <c r="AP249" s="83">
        <v>0</v>
      </c>
      <c r="AQ249" s="83"/>
      <c r="AR249" s="83"/>
      <c r="AS249" s="83" t="s">
        <v>2744</v>
      </c>
      <c r="AT249" s="89" t="str">
        <f>HYPERLINK("https://www.youtube.com/channel/UCw-lHo0SengfKCOWsiLRwKg")</f>
        <v>https://www.youtube.com/channel/UCw-lHo0SengfKCOWsiLRwKg</v>
      </c>
      <c r="AU249" s="83" t="str">
        <f>REPLACE(INDEX(GroupVertices[Group],MATCH(Vertices[[#This Row],[Vertex]],GroupVertices[Vertex],0)),1,1,"")</f>
        <v>2</v>
      </c>
      <c r="AV249" s="45"/>
      <c r="AW249" s="46"/>
      <c r="AX249" s="45"/>
      <c r="AY249" s="46"/>
      <c r="AZ249" s="45"/>
      <c r="BA249" s="46"/>
      <c r="BB249" s="45"/>
      <c r="BC249" s="46"/>
      <c r="BD249" s="45"/>
      <c r="BE249" s="110" t="s">
        <v>1874</v>
      </c>
      <c r="BF249" s="110" t="s">
        <v>1874</v>
      </c>
      <c r="BG249" s="110" t="s">
        <v>1874</v>
      </c>
      <c r="BH249" s="110" t="s">
        <v>1874</v>
      </c>
      <c r="BI249" s="2"/>
    </row>
    <row r="250" spans="1:61" ht="15">
      <c r="A250" s="61" t="s">
        <v>453</v>
      </c>
      <c r="B250" s="62" t="s">
        <v>2893</v>
      </c>
      <c r="C250" s="62"/>
      <c r="D250" s="63">
        <v>100</v>
      </c>
      <c r="E250" s="65">
        <v>50</v>
      </c>
      <c r="F250" s="100" t="str">
        <f>HYPERLINK("https://yt3.ggpht.com/Ro_f8SLaeWPO5jo8lRxBkcccnKy4WlVBOF-0gUtbNL9qAu-DsQnf2wFTCj-1t1xstUwZ5bJbkg=s88-c-k-c0x00ffffff-no-rj")</f>
        <v>https://yt3.ggpht.com/Ro_f8SLaeWPO5jo8lRxBkcccnKy4WlVBOF-0gUtbNL9qAu-DsQnf2wFTCj-1t1xstUwZ5bJbkg=s88-c-k-c0x00ffffff-no-rj</v>
      </c>
      <c r="G250" s="62"/>
      <c r="H250" s="66" t="s">
        <v>1291</v>
      </c>
      <c r="I250" s="67"/>
      <c r="J250" s="67" t="s">
        <v>159</v>
      </c>
      <c r="K250" s="66" t="s">
        <v>1291</v>
      </c>
      <c r="L250" s="70"/>
      <c r="M250" s="71">
        <v>5021.6611328125</v>
      </c>
      <c r="N250" s="71">
        <v>6273.24951171875</v>
      </c>
      <c r="O250" s="72"/>
      <c r="P250" s="73"/>
      <c r="Q250" s="73"/>
      <c r="R250" s="94"/>
      <c r="S250" s="45">
        <v>0</v>
      </c>
      <c r="T250" s="45">
        <v>1</v>
      </c>
      <c r="U250" s="46">
        <v>0</v>
      </c>
      <c r="V250" s="46">
        <v>0.096339</v>
      </c>
      <c r="W250" s="46">
        <v>3E-06</v>
      </c>
      <c r="X250" s="46">
        <v>0.002054</v>
      </c>
      <c r="Y250" s="46">
        <v>0</v>
      </c>
      <c r="Z250" s="46">
        <v>0</v>
      </c>
      <c r="AA250" s="68">
        <v>250</v>
      </c>
      <c r="AB250" s="68"/>
      <c r="AC250" s="69"/>
      <c r="AD250" s="83" t="s">
        <v>1291</v>
      </c>
      <c r="AE250" s="83" t="s">
        <v>2009</v>
      </c>
      <c r="AF250" s="83"/>
      <c r="AG250" s="83"/>
      <c r="AH250" s="83"/>
      <c r="AI250" s="83" t="s">
        <v>2328</v>
      </c>
      <c r="AJ250" s="83" t="s">
        <v>2648</v>
      </c>
      <c r="AK250" s="89" t="str">
        <f>HYPERLINK("https://yt3.ggpht.com/Ro_f8SLaeWPO5jo8lRxBkcccnKy4WlVBOF-0gUtbNL9qAu-DsQnf2wFTCj-1t1xstUwZ5bJbkg=s88-c-k-c0x00ffffff-no-rj")</f>
        <v>https://yt3.ggpht.com/Ro_f8SLaeWPO5jo8lRxBkcccnKy4WlVBOF-0gUtbNL9qAu-DsQnf2wFTCj-1t1xstUwZ5bJbkg=s88-c-k-c0x00ffffff-no-rj</v>
      </c>
      <c r="AL250" s="83">
        <v>1280883</v>
      </c>
      <c r="AM250" s="83">
        <v>0</v>
      </c>
      <c r="AN250" s="83">
        <v>2240</v>
      </c>
      <c r="AO250" s="83" t="b">
        <v>0</v>
      </c>
      <c r="AP250" s="83">
        <v>118</v>
      </c>
      <c r="AQ250" s="83"/>
      <c r="AR250" s="83"/>
      <c r="AS250" s="83" t="s">
        <v>2744</v>
      </c>
      <c r="AT250" s="89" t="str">
        <f>HYPERLINK("https://www.youtube.com/channel/UC7yYFucKiv1t1ZTOUGp8rbg")</f>
        <v>https://www.youtube.com/channel/UC7yYFucKiv1t1ZTOUGp8rbg</v>
      </c>
      <c r="AU250" s="83" t="str">
        <f>REPLACE(INDEX(GroupVertices[Group],MATCH(Vertices[[#This Row],[Vertex]],GroupVertices[Vertex],0)),1,1,"")</f>
        <v>2</v>
      </c>
      <c r="AV250" s="45"/>
      <c r="AW250" s="46"/>
      <c r="AX250" s="45"/>
      <c r="AY250" s="46"/>
      <c r="AZ250" s="45"/>
      <c r="BA250" s="46"/>
      <c r="BB250" s="45"/>
      <c r="BC250" s="46"/>
      <c r="BD250" s="45"/>
      <c r="BE250" s="110" t="s">
        <v>1874</v>
      </c>
      <c r="BF250" s="110" t="s">
        <v>1874</v>
      </c>
      <c r="BG250" s="110" t="s">
        <v>1874</v>
      </c>
      <c r="BH250" s="110" t="s">
        <v>1874</v>
      </c>
      <c r="BI250" s="2"/>
    </row>
    <row r="251" spans="1:61" ht="15">
      <c r="A251" s="61" t="s">
        <v>454</v>
      </c>
      <c r="B251" s="62" t="s">
        <v>2893</v>
      </c>
      <c r="C251" s="62"/>
      <c r="D251" s="63">
        <v>100</v>
      </c>
      <c r="E251" s="65">
        <v>50</v>
      </c>
      <c r="F251" s="100" t="str">
        <f>HYPERLINK("https://yt3.ggpht.com/ytc/AGIKgqMunQP9OhypsL10kMvamcZBMi7eBlqHwvXQPr66xw=s88-c-k-c0x00ffffff-no-rj")</f>
        <v>https://yt3.ggpht.com/ytc/AGIKgqMunQP9OhypsL10kMvamcZBMi7eBlqHwvXQPr66xw=s88-c-k-c0x00ffffff-no-rj</v>
      </c>
      <c r="G251" s="62"/>
      <c r="H251" s="66" t="s">
        <v>1292</v>
      </c>
      <c r="I251" s="67"/>
      <c r="J251" s="67" t="s">
        <v>159</v>
      </c>
      <c r="K251" s="66" t="s">
        <v>1292</v>
      </c>
      <c r="L251" s="70"/>
      <c r="M251" s="71">
        <v>4720.2724609375</v>
      </c>
      <c r="N251" s="71">
        <v>6273.24951171875</v>
      </c>
      <c r="O251" s="72"/>
      <c r="P251" s="73"/>
      <c r="Q251" s="73"/>
      <c r="R251" s="94"/>
      <c r="S251" s="45">
        <v>0</v>
      </c>
      <c r="T251" s="45">
        <v>1</v>
      </c>
      <c r="U251" s="46">
        <v>0</v>
      </c>
      <c r="V251" s="46">
        <v>0.096339</v>
      </c>
      <c r="W251" s="46">
        <v>3E-06</v>
      </c>
      <c r="X251" s="46">
        <v>0.002054</v>
      </c>
      <c r="Y251" s="46">
        <v>0</v>
      </c>
      <c r="Z251" s="46">
        <v>0</v>
      </c>
      <c r="AA251" s="68">
        <v>251</v>
      </c>
      <c r="AB251" s="68"/>
      <c r="AC251" s="69"/>
      <c r="AD251" s="83" t="s">
        <v>1292</v>
      </c>
      <c r="AE251" s="83"/>
      <c r="AF251" s="83"/>
      <c r="AG251" s="83"/>
      <c r="AH251" s="83"/>
      <c r="AI251" s="83" t="s">
        <v>2329</v>
      </c>
      <c r="AJ251" s="83" t="s">
        <v>2649</v>
      </c>
      <c r="AK251" s="89" t="str">
        <f>HYPERLINK("https://yt3.ggpht.com/ytc/AGIKgqMunQP9OhypsL10kMvamcZBMi7eBlqHwvXQPr66xw=s88-c-k-c0x00ffffff-no-rj")</f>
        <v>https://yt3.ggpht.com/ytc/AGIKgqMunQP9OhypsL10kMvamcZBMi7eBlqHwvXQPr66xw=s88-c-k-c0x00ffffff-no-rj</v>
      </c>
      <c r="AL251" s="83">
        <v>0</v>
      </c>
      <c r="AM251" s="83">
        <v>0</v>
      </c>
      <c r="AN251" s="83">
        <v>8</v>
      </c>
      <c r="AO251" s="83" t="b">
        <v>0</v>
      </c>
      <c r="AP251" s="83">
        <v>0</v>
      </c>
      <c r="AQ251" s="83"/>
      <c r="AR251" s="83"/>
      <c r="AS251" s="83" t="s">
        <v>2744</v>
      </c>
      <c r="AT251" s="89" t="str">
        <f>HYPERLINK("https://www.youtube.com/channel/UCyxFFz7hYPEunEqCiCyuCkQ")</f>
        <v>https://www.youtube.com/channel/UCyxFFz7hYPEunEqCiCyuCkQ</v>
      </c>
      <c r="AU251" s="83" t="str">
        <f>REPLACE(INDEX(GroupVertices[Group],MATCH(Vertices[[#This Row],[Vertex]],GroupVertices[Vertex],0)),1,1,"")</f>
        <v>2</v>
      </c>
      <c r="AV251" s="45"/>
      <c r="AW251" s="46"/>
      <c r="AX251" s="45"/>
      <c r="AY251" s="46"/>
      <c r="AZ251" s="45"/>
      <c r="BA251" s="46"/>
      <c r="BB251" s="45"/>
      <c r="BC251" s="46"/>
      <c r="BD251" s="45"/>
      <c r="BE251" s="110" t="s">
        <v>1874</v>
      </c>
      <c r="BF251" s="110" t="s">
        <v>1874</v>
      </c>
      <c r="BG251" s="110" t="s">
        <v>1874</v>
      </c>
      <c r="BH251" s="110" t="s">
        <v>1874</v>
      </c>
      <c r="BI251" s="2"/>
    </row>
    <row r="252" spans="1:61" ht="15">
      <c r="A252" s="61" t="s">
        <v>455</v>
      </c>
      <c r="B252" s="62" t="s">
        <v>2893</v>
      </c>
      <c r="C252" s="62"/>
      <c r="D252" s="63">
        <v>100</v>
      </c>
      <c r="E252" s="65">
        <v>50</v>
      </c>
      <c r="F252" s="100" t="str">
        <f>HYPERLINK("https://yt3.ggpht.com/ytc/AGIKgqOnNI3Yy0epElPg4G21feUqh5irqqCr5Y_s9v43pg=s88-c-k-c0x00ffffff-no-rj")</f>
        <v>https://yt3.ggpht.com/ytc/AGIKgqOnNI3Yy0epElPg4G21feUqh5irqqCr5Y_s9v43pg=s88-c-k-c0x00ffffff-no-rj</v>
      </c>
      <c r="G252" s="62"/>
      <c r="H252" s="66" t="s">
        <v>1293</v>
      </c>
      <c r="I252" s="67"/>
      <c r="J252" s="67" t="s">
        <v>159</v>
      </c>
      <c r="K252" s="66" t="s">
        <v>1293</v>
      </c>
      <c r="L252" s="70"/>
      <c r="M252" s="71">
        <v>4418.88427734375</v>
      </c>
      <c r="N252" s="71">
        <v>6273.24951171875</v>
      </c>
      <c r="O252" s="72"/>
      <c r="P252" s="73"/>
      <c r="Q252" s="73"/>
      <c r="R252" s="94"/>
      <c r="S252" s="45">
        <v>0</v>
      </c>
      <c r="T252" s="45">
        <v>1</v>
      </c>
      <c r="U252" s="46">
        <v>0</v>
      </c>
      <c r="V252" s="46">
        <v>0.096339</v>
      </c>
      <c r="W252" s="46">
        <v>3E-06</v>
      </c>
      <c r="X252" s="46">
        <v>0.002054</v>
      </c>
      <c r="Y252" s="46">
        <v>0</v>
      </c>
      <c r="Z252" s="46">
        <v>0</v>
      </c>
      <c r="AA252" s="68">
        <v>252</v>
      </c>
      <c r="AB252" s="68"/>
      <c r="AC252" s="69"/>
      <c r="AD252" s="83" t="s">
        <v>1293</v>
      </c>
      <c r="AE252" s="83"/>
      <c r="AF252" s="83"/>
      <c r="AG252" s="83"/>
      <c r="AH252" s="83"/>
      <c r="AI252" s="83" t="s">
        <v>2330</v>
      </c>
      <c r="AJ252" s="83" t="s">
        <v>2650</v>
      </c>
      <c r="AK252" s="89" t="str">
        <f>HYPERLINK("https://yt3.ggpht.com/ytc/AGIKgqOnNI3Yy0epElPg4G21feUqh5irqqCr5Y_s9v43pg=s88-c-k-c0x00ffffff-no-rj")</f>
        <v>https://yt3.ggpht.com/ytc/AGIKgqOnNI3Yy0epElPg4G21feUqh5irqqCr5Y_s9v43pg=s88-c-k-c0x00ffffff-no-rj</v>
      </c>
      <c r="AL252" s="83">
        <v>0</v>
      </c>
      <c r="AM252" s="83">
        <v>0</v>
      </c>
      <c r="AN252" s="83">
        <v>0</v>
      </c>
      <c r="AO252" s="83" t="b">
        <v>0</v>
      </c>
      <c r="AP252" s="83">
        <v>0</v>
      </c>
      <c r="AQ252" s="83"/>
      <c r="AR252" s="83"/>
      <c r="AS252" s="83" t="s">
        <v>2744</v>
      </c>
      <c r="AT252" s="89" t="str">
        <f>HYPERLINK("https://www.youtube.com/channel/UCGJjAeDvkSmAwmZVvMupN9Q")</f>
        <v>https://www.youtube.com/channel/UCGJjAeDvkSmAwmZVvMupN9Q</v>
      </c>
      <c r="AU252" s="83" t="str">
        <f>REPLACE(INDEX(GroupVertices[Group],MATCH(Vertices[[#This Row],[Vertex]],GroupVertices[Vertex],0)),1,1,"")</f>
        <v>2</v>
      </c>
      <c r="AV252" s="45"/>
      <c r="AW252" s="46"/>
      <c r="AX252" s="45"/>
      <c r="AY252" s="46"/>
      <c r="AZ252" s="45"/>
      <c r="BA252" s="46"/>
      <c r="BB252" s="45"/>
      <c r="BC252" s="46"/>
      <c r="BD252" s="45"/>
      <c r="BE252" s="110" t="s">
        <v>1874</v>
      </c>
      <c r="BF252" s="110" t="s">
        <v>1874</v>
      </c>
      <c r="BG252" s="110" t="s">
        <v>1874</v>
      </c>
      <c r="BH252" s="110" t="s">
        <v>1874</v>
      </c>
      <c r="BI252" s="2"/>
    </row>
    <row r="253" spans="1:61" ht="15">
      <c r="A253" s="61" t="s">
        <v>456</v>
      </c>
      <c r="B253" s="62" t="s">
        <v>2893</v>
      </c>
      <c r="C253" s="62"/>
      <c r="D253" s="63">
        <v>100</v>
      </c>
      <c r="E253" s="65">
        <v>50</v>
      </c>
      <c r="F253" s="100" t="str">
        <f>HYPERLINK("https://yt3.ggpht.com/ytc/AGIKgqOCsIRsW26S3jsc53DYsPSk6ZsLQAE-dZmldIDU=s88-c-k-c0x00ffffff-no-rj")</f>
        <v>https://yt3.ggpht.com/ytc/AGIKgqOCsIRsW26S3jsc53DYsPSk6ZsLQAE-dZmldIDU=s88-c-k-c0x00ffffff-no-rj</v>
      </c>
      <c r="G253" s="62"/>
      <c r="H253" s="66" t="s">
        <v>1294</v>
      </c>
      <c r="I253" s="67"/>
      <c r="J253" s="67" t="s">
        <v>159</v>
      </c>
      <c r="K253" s="66" t="s">
        <v>1294</v>
      </c>
      <c r="L253" s="70"/>
      <c r="M253" s="71">
        <v>4117.49609375</v>
      </c>
      <c r="N253" s="71">
        <v>6273.24951171875</v>
      </c>
      <c r="O253" s="72"/>
      <c r="P253" s="73"/>
      <c r="Q253" s="73"/>
      <c r="R253" s="94"/>
      <c r="S253" s="45">
        <v>0</v>
      </c>
      <c r="T253" s="45">
        <v>1</v>
      </c>
      <c r="U253" s="46">
        <v>0</v>
      </c>
      <c r="V253" s="46">
        <v>0.096339</v>
      </c>
      <c r="W253" s="46">
        <v>3E-06</v>
      </c>
      <c r="X253" s="46">
        <v>0.002054</v>
      </c>
      <c r="Y253" s="46">
        <v>0</v>
      </c>
      <c r="Z253" s="46">
        <v>0</v>
      </c>
      <c r="AA253" s="68">
        <v>253</v>
      </c>
      <c r="AB253" s="68"/>
      <c r="AC253" s="69"/>
      <c r="AD253" s="83" t="s">
        <v>1294</v>
      </c>
      <c r="AE253" s="83"/>
      <c r="AF253" s="83"/>
      <c r="AG253" s="83"/>
      <c r="AH253" s="83"/>
      <c r="AI253" s="83" t="s">
        <v>2331</v>
      </c>
      <c r="AJ253" s="83" t="s">
        <v>2651</v>
      </c>
      <c r="AK253" s="89" t="str">
        <f>HYPERLINK("https://yt3.ggpht.com/ytc/AGIKgqOCsIRsW26S3jsc53DYsPSk6ZsLQAE-dZmldIDU=s88-c-k-c0x00ffffff-no-rj")</f>
        <v>https://yt3.ggpht.com/ytc/AGIKgqOCsIRsW26S3jsc53DYsPSk6ZsLQAE-dZmldIDU=s88-c-k-c0x00ffffff-no-rj</v>
      </c>
      <c r="AL253" s="83">
        <v>0</v>
      </c>
      <c r="AM253" s="83">
        <v>0</v>
      </c>
      <c r="AN253" s="83">
        <v>0</v>
      </c>
      <c r="AO253" s="83" t="b">
        <v>0</v>
      </c>
      <c r="AP253" s="83">
        <v>0</v>
      </c>
      <c r="AQ253" s="83"/>
      <c r="AR253" s="83"/>
      <c r="AS253" s="83" t="s">
        <v>2744</v>
      </c>
      <c r="AT253" s="89" t="str">
        <f>HYPERLINK("https://www.youtube.com/channel/UCZUQxrHy9tEz_3PEsa66c5g")</f>
        <v>https://www.youtube.com/channel/UCZUQxrHy9tEz_3PEsa66c5g</v>
      </c>
      <c r="AU253" s="83" t="str">
        <f>REPLACE(INDEX(GroupVertices[Group],MATCH(Vertices[[#This Row],[Vertex]],GroupVertices[Vertex],0)),1,1,"")</f>
        <v>2</v>
      </c>
      <c r="AV253" s="45"/>
      <c r="AW253" s="46"/>
      <c r="AX253" s="45"/>
      <c r="AY253" s="46"/>
      <c r="AZ253" s="45"/>
      <c r="BA253" s="46"/>
      <c r="BB253" s="45"/>
      <c r="BC253" s="46"/>
      <c r="BD253" s="45"/>
      <c r="BE253" s="110" t="s">
        <v>1874</v>
      </c>
      <c r="BF253" s="110" t="s">
        <v>1874</v>
      </c>
      <c r="BG253" s="110" t="s">
        <v>1874</v>
      </c>
      <c r="BH253" s="110" t="s">
        <v>1874</v>
      </c>
      <c r="BI253" s="2"/>
    </row>
    <row r="254" spans="1:61" ht="15">
      <c r="A254" s="61" t="s">
        <v>457</v>
      </c>
      <c r="B254" s="62" t="s">
        <v>2893</v>
      </c>
      <c r="C254" s="62"/>
      <c r="D254" s="63">
        <v>100</v>
      </c>
      <c r="E254" s="65">
        <v>50</v>
      </c>
      <c r="F254" s="100" t="str">
        <f>HYPERLINK("https://yt3.ggpht.com/tarKQLNBHhYe1wyKg0uTon68jg4J0ErtasvVkynMIJq4rZflGVgOo9fAnCPW5P0Z-guVpHZP2Q=s88-c-k-c0x00ffffff-no-rj")</f>
        <v>https://yt3.ggpht.com/tarKQLNBHhYe1wyKg0uTon68jg4J0ErtasvVkynMIJq4rZflGVgOo9fAnCPW5P0Z-guVpHZP2Q=s88-c-k-c0x00ffffff-no-rj</v>
      </c>
      <c r="G254" s="62"/>
      <c r="H254" s="66" t="s">
        <v>1295</v>
      </c>
      <c r="I254" s="67"/>
      <c r="J254" s="67" t="s">
        <v>159</v>
      </c>
      <c r="K254" s="66" t="s">
        <v>1295</v>
      </c>
      <c r="L254" s="70"/>
      <c r="M254" s="71">
        <v>3816.107666015625</v>
      </c>
      <c r="N254" s="71">
        <v>6273.24951171875</v>
      </c>
      <c r="O254" s="72"/>
      <c r="P254" s="73"/>
      <c r="Q254" s="73"/>
      <c r="R254" s="94"/>
      <c r="S254" s="45">
        <v>0</v>
      </c>
      <c r="T254" s="45">
        <v>1</v>
      </c>
      <c r="U254" s="46">
        <v>0</v>
      </c>
      <c r="V254" s="46">
        <v>0.096339</v>
      </c>
      <c r="W254" s="46">
        <v>3E-06</v>
      </c>
      <c r="X254" s="46">
        <v>0.002054</v>
      </c>
      <c r="Y254" s="46">
        <v>0</v>
      </c>
      <c r="Z254" s="46">
        <v>0</v>
      </c>
      <c r="AA254" s="68">
        <v>254</v>
      </c>
      <c r="AB254" s="68"/>
      <c r="AC254" s="69"/>
      <c r="AD254" s="83" t="s">
        <v>1295</v>
      </c>
      <c r="AE254" s="83" t="s">
        <v>2010</v>
      </c>
      <c r="AF254" s="83"/>
      <c r="AG254" s="83"/>
      <c r="AH254" s="83"/>
      <c r="AI254" s="83" t="s">
        <v>2332</v>
      </c>
      <c r="AJ254" s="83" t="s">
        <v>2652</v>
      </c>
      <c r="AK254" s="89" t="str">
        <f>HYPERLINK("https://yt3.ggpht.com/tarKQLNBHhYe1wyKg0uTon68jg4J0ErtasvVkynMIJq4rZflGVgOo9fAnCPW5P0Z-guVpHZP2Q=s88-c-k-c0x00ffffff-no-rj")</f>
        <v>https://yt3.ggpht.com/tarKQLNBHhYe1wyKg0uTon68jg4J0ErtasvVkynMIJq4rZflGVgOo9fAnCPW5P0Z-guVpHZP2Q=s88-c-k-c0x00ffffff-no-rj</v>
      </c>
      <c r="AL254" s="83">
        <v>50</v>
      </c>
      <c r="AM254" s="83">
        <v>0</v>
      </c>
      <c r="AN254" s="83">
        <v>0</v>
      </c>
      <c r="AO254" s="83" t="b">
        <v>0</v>
      </c>
      <c r="AP254" s="83">
        <v>2</v>
      </c>
      <c r="AQ254" s="83"/>
      <c r="AR254" s="83"/>
      <c r="AS254" s="83" t="s">
        <v>2744</v>
      </c>
      <c r="AT254" s="89" t="str">
        <f>HYPERLINK("https://www.youtube.com/channel/UCYqYLW2PT8LnUZLQMYuriOg")</f>
        <v>https://www.youtube.com/channel/UCYqYLW2PT8LnUZLQMYuriOg</v>
      </c>
      <c r="AU254" s="83" t="str">
        <f>REPLACE(INDEX(GroupVertices[Group],MATCH(Vertices[[#This Row],[Vertex]],GroupVertices[Vertex],0)),1,1,"")</f>
        <v>2</v>
      </c>
      <c r="AV254" s="45"/>
      <c r="AW254" s="46"/>
      <c r="AX254" s="45"/>
      <c r="AY254" s="46"/>
      <c r="AZ254" s="45"/>
      <c r="BA254" s="46"/>
      <c r="BB254" s="45"/>
      <c r="BC254" s="46"/>
      <c r="BD254" s="45"/>
      <c r="BE254" s="110" t="s">
        <v>1874</v>
      </c>
      <c r="BF254" s="110" t="s">
        <v>1874</v>
      </c>
      <c r="BG254" s="110" t="s">
        <v>1874</v>
      </c>
      <c r="BH254" s="110" t="s">
        <v>1874</v>
      </c>
      <c r="BI254" s="2"/>
    </row>
    <row r="255" spans="1:61" ht="15">
      <c r="A255" s="61" t="s">
        <v>458</v>
      </c>
      <c r="B255" s="62" t="s">
        <v>2893</v>
      </c>
      <c r="C255" s="62"/>
      <c r="D255" s="63">
        <v>100</v>
      </c>
      <c r="E255" s="65">
        <v>50</v>
      </c>
      <c r="F255" s="100" t="str">
        <f>HYPERLINK("https://yt3.ggpht.com/ytc/AGIKgqPK9Vg3wXttmqb-VXJXLIxhhutpTFtnDE-4dO__=s88-c-k-c0x00ffffff-no-rj")</f>
        <v>https://yt3.ggpht.com/ytc/AGIKgqPK9Vg3wXttmqb-VXJXLIxhhutpTFtnDE-4dO__=s88-c-k-c0x00ffffff-no-rj</v>
      </c>
      <c r="G255" s="62"/>
      <c r="H255" s="66" t="s">
        <v>1296</v>
      </c>
      <c r="I255" s="67"/>
      <c r="J255" s="67" t="s">
        <v>159</v>
      </c>
      <c r="K255" s="66" t="s">
        <v>1296</v>
      </c>
      <c r="L255" s="70"/>
      <c r="M255" s="71">
        <v>3514.719482421875</v>
      </c>
      <c r="N255" s="71">
        <v>6273.24951171875</v>
      </c>
      <c r="O255" s="72"/>
      <c r="P255" s="73"/>
      <c r="Q255" s="73"/>
      <c r="R255" s="94"/>
      <c r="S255" s="45">
        <v>0</v>
      </c>
      <c r="T255" s="45">
        <v>1</v>
      </c>
      <c r="U255" s="46">
        <v>0</v>
      </c>
      <c r="V255" s="46">
        <v>0.096339</v>
      </c>
      <c r="W255" s="46">
        <v>3E-06</v>
      </c>
      <c r="X255" s="46">
        <v>0.002054</v>
      </c>
      <c r="Y255" s="46">
        <v>0</v>
      </c>
      <c r="Z255" s="46">
        <v>0</v>
      </c>
      <c r="AA255" s="68">
        <v>255</v>
      </c>
      <c r="AB255" s="68"/>
      <c r="AC255" s="69"/>
      <c r="AD255" s="83" t="s">
        <v>1296</v>
      </c>
      <c r="AE255" s="83" t="s">
        <v>2011</v>
      </c>
      <c r="AF255" s="83"/>
      <c r="AG255" s="83"/>
      <c r="AH255" s="83"/>
      <c r="AI255" s="83" t="s">
        <v>2333</v>
      </c>
      <c r="AJ255" s="83" t="s">
        <v>2653</v>
      </c>
      <c r="AK255" s="89" t="str">
        <f>HYPERLINK("https://yt3.ggpht.com/ytc/AGIKgqPK9Vg3wXttmqb-VXJXLIxhhutpTFtnDE-4dO__=s88-c-k-c0x00ffffff-no-rj")</f>
        <v>https://yt3.ggpht.com/ytc/AGIKgqPK9Vg3wXttmqb-VXJXLIxhhutpTFtnDE-4dO__=s88-c-k-c0x00ffffff-no-rj</v>
      </c>
      <c r="AL255" s="83">
        <v>4054066</v>
      </c>
      <c r="AM255" s="83">
        <v>0</v>
      </c>
      <c r="AN255" s="83">
        <v>4640</v>
      </c>
      <c r="AO255" s="83" t="b">
        <v>0</v>
      </c>
      <c r="AP255" s="83">
        <v>52</v>
      </c>
      <c r="AQ255" s="83"/>
      <c r="AR255" s="83"/>
      <c r="AS255" s="83" t="s">
        <v>2744</v>
      </c>
      <c r="AT255" s="89" t="str">
        <f>HYPERLINK("https://www.youtube.com/channel/UCabDbytB7HQvqL3FPb-P_FA")</f>
        <v>https://www.youtube.com/channel/UCabDbytB7HQvqL3FPb-P_FA</v>
      </c>
      <c r="AU255" s="83" t="str">
        <f>REPLACE(INDEX(GroupVertices[Group],MATCH(Vertices[[#This Row],[Vertex]],GroupVertices[Vertex],0)),1,1,"")</f>
        <v>2</v>
      </c>
      <c r="AV255" s="45"/>
      <c r="AW255" s="46"/>
      <c r="AX255" s="45"/>
      <c r="AY255" s="46"/>
      <c r="AZ255" s="45"/>
      <c r="BA255" s="46"/>
      <c r="BB255" s="45"/>
      <c r="BC255" s="46"/>
      <c r="BD255" s="45"/>
      <c r="BE255" s="110" t="s">
        <v>1874</v>
      </c>
      <c r="BF255" s="110" t="s">
        <v>1874</v>
      </c>
      <c r="BG255" s="110" t="s">
        <v>1874</v>
      </c>
      <c r="BH255" s="110" t="s">
        <v>1874</v>
      </c>
      <c r="BI255" s="2"/>
    </row>
    <row r="256" spans="1:61" ht="15">
      <c r="A256" s="61" t="s">
        <v>459</v>
      </c>
      <c r="B256" s="62" t="s">
        <v>2893</v>
      </c>
      <c r="C256" s="62"/>
      <c r="D256" s="63">
        <v>100</v>
      </c>
      <c r="E256" s="65">
        <v>50</v>
      </c>
      <c r="F256" s="100" t="str">
        <f>HYPERLINK("https://yt3.ggpht.com/oqt1an_G1KTi38S8DoJoZ2kHZ4rrFLR51n3VPPyDdjJ12-DFqtnSN-hs315nzkEQXwA8WrOdbg=s88-c-k-c0x00ffffff-no-rj")</f>
        <v>https://yt3.ggpht.com/oqt1an_G1KTi38S8DoJoZ2kHZ4rrFLR51n3VPPyDdjJ12-DFqtnSN-hs315nzkEQXwA8WrOdbg=s88-c-k-c0x00ffffff-no-rj</v>
      </c>
      <c r="G256" s="62"/>
      <c r="H256" s="66" t="s">
        <v>1297</v>
      </c>
      <c r="I256" s="67"/>
      <c r="J256" s="67" t="s">
        <v>159</v>
      </c>
      <c r="K256" s="66" t="s">
        <v>1297</v>
      </c>
      <c r="L256" s="70"/>
      <c r="M256" s="71">
        <v>3213.3310546875</v>
      </c>
      <c r="N256" s="71">
        <v>6273.24951171875</v>
      </c>
      <c r="O256" s="72"/>
      <c r="P256" s="73"/>
      <c r="Q256" s="73"/>
      <c r="R256" s="94"/>
      <c r="S256" s="45">
        <v>0</v>
      </c>
      <c r="T256" s="45">
        <v>1</v>
      </c>
      <c r="U256" s="46">
        <v>0</v>
      </c>
      <c r="V256" s="46">
        <v>0.096339</v>
      </c>
      <c r="W256" s="46">
        <v>3E-06</v>
      </c>
      <c r="X256" s="46">
        <v>0.002054</v>
      </c>
      <c r="Y256" s="46">
        <v>0</v>
      </c>
      <c r="Z256" s="46">
        <v>0</v>
      </c>
      <c r="AA256" s="68">
        <v>256</v>
      </c>
      <c r="AB256" s="68"/>
      <c r="AC256" s="69"/>
      <c r="AD256" s="83" t="s">
        <v>1297</v>
      </c>
      <c r="AE256" s="83" t="s">
        <v>2012</v>
      </c>
      <c r="AF256" s="83"/>
      <c r="AG256" s="83"/>
      <c r="AH256" s="83"/>
      <c r="AI256" s="83" t="s">
        <v>2334</v>
      </c>
      <c r="AJ256" s="83" t="s">
        <v>2654</v>
      </c>
      <c r="AK256" s="89" t="str">
        <f>HYPERLINK("https://yt3.ggpht.com/oqt1an_G1KTi38S8DoJoZ2kHZ4rrFLR51n3VPPyDdjJ12-DFqtnSN-hs315nzkEQXwA8WrOdbg=s88-c-k-c0x00ffffff-no-rj")</f>
        <v>https://yt3.ggpht.com/oqt1an_G1KTi38S8DoJoZ2kHZ4rrFLR51n3VPPyDdjJ12-DFqtnSN-hs315nzkEQXwA8WrOdbg=s88-c-k-c0x00ffffff-no-rj</v>
      </c>
      <c r="AL256" s="83">
        <v>0</v>
      </c>
      <c r="AM256" s="83">
        <v>0</v>
      </c>
      <c r="AN256" s="83">
        <v>0</v>
      </c>
      <c r="AO256" s="83" t="b">
        <v>0</v>
      </c>
      <c r="AP256" s="83">
        <v>0</v>
      </c>
      <c r="AQ256" s="83"/>
      <c r="AR256" s="83"/>
      <c r="AS256" s="83" t="s">
        <v>2744</v>
      </c>
      <c r="AT256" s="89" t="str">
        <f>HYPERLINK("https://www.youtube.com/channel/UCp7EWuBqzXVgDgvzaDs89vg")</f>
        <v>https://www.youtube.com/channel/UCp7EWuBqzXVgDgvzaDs89vg</v>
      </c>
      <c r="AU256" s="83" t="str">
        <f>REPLACE(INDEX(GroupVertices[Group],MATCH(Vertices[[#This Row],[Vertex]],GroupVertices[Vertex],0)),1,1,"")</f>
        <v>2</v>
      </c>
      <c r="AV256" s="45"/>
      <c r="AW256" s="46"/>
      <c r="AX256" s="45"/>
      <c r="AY256" s="46"/>
      <c r="AZ256" s="45"/>
      <c r="BA256" s="46"/>
      <c r="BB256" s="45"/>
      <c r="BC256" s="46"/>
      <c r="BD256" s="45"/>
      <c r="BE256" s="110" t="s">
        <v>1874</v>
      </c>
      <c r="BF256" s="110" t="s">
        <v>1874</v>
      </c>
      <c r="BG256" s="110" t="s">
        <v>1874</v>
      </c>
      <c r="BH256" s="110" t="s">
        <v>1874</v>
      </c>
      <c r="BI256" s="2"/>
    </row>
    <row r="257" spans="1:61" ht="15">
      <c r="A257" s="61" t="s">
        <v>460</v>
      </c>
      <c r="B257" s="62" t="s">
        <v>2893</v>
      </c>
      <c r="C257" s="62"/>
      <c r="D257" s="63">
        <v>100</v>
      </c>
      <c r="E257" s="65">
        <v>50</v>
      </c>
      <c r="F257" s="100" t="str">
        <f>HYPERLINK("https://yt3.ggpht.com/LGXbi0uLiECOTu9b5wkn0uvjlEzFFS4ShWWiVpNi8NcmGi4tux2o1OjdLKtt1ua0co6Cc6JbEA=s88-c-k-c0x00ffffff-no-rj")</f>
        <v>https://yt3.ggpht.com/LGXbi0uLiECOTu9b5wkn0uvjlEzFFS4ShWWiVpNi8NcmGi4tux2o1OjdLKtt1ua0co6Cc6JbEA=s88-c-k-c0x00ffffff-no-rj</v>
      </c>
      <c r="G257" s="62"/>
      <c r="H257" s="66" t="s">
        <v>1298</v>
      </c>
      <c r="I257" s="67"/>
      <c r="J257" s="67" t="s">
        <v>159</v>
      </c>
      <c r="K257" s="66" t="s">
        <v>1298</v>
      </c>
      <c r="L257" s="70"/>
      <c r="M257" s="71">
        <v>2911.94287109375</v>
      </c>
      <c r="N257" s="71">
        <v>6273.24951171875</v>
      </c>
      <c r="O257" s="72"/>
      <c r="P257" s="73"/>
      <c r="Q257" s="73"/>
      <c r="R257" s="94"/>
      <c r="S257" s="45">
        <v>0</v>
      </c>
      <c r="T257" s="45">
        <v>1</v>
      </c>
      <c r="U257" s="46">
        <v>0</v>
      </c>
      <c r="V257" s="46">
        <v>0.096339</v>
      </c>
      <c r="W257" s="46">
        <v>3E-06</v>
      </c>
      <c r="X257" s="46">
        <v>0.002054</v>
      </c>
      <c r="Y257" s="46">
        <v>0</v>
      </c>
      <c r="Z257" s="46">
        <v>0</v>
      </c>
      <c r="AA257" s="68">
        <v>257</v>
      </c>
      <c r="AB257" s="68"/>
      <c r="AC257" s="69"/>
      <c r="AD257" s="83" t="s">
        <v>1298</v>
      </c>
      <c r="AE257" s="83"/>
      <c r="AF257" s="83"/>
      <c r="AG257" s="83"/>
      <c r="AH257" s="83"/>
      <c r="AI257" s="83" t="s">
        <v>2335</v>
      </c>
      <c r="AJ257" s="83" t="s">
        <v>2655</v>
      </c>
      <c r="AK257" s="89" t="str">
        <f>HYPERLINK("https://yt3.ggpht.com/LGXbi0uLiECOTu9b5wkn0uvjlEzFFS4ShWWiVpNi8NcmGi4tux2o1OjdLKtt1ua0co6Cc6JbEA=s88-c-k-c0x00ffffff-no-rj")</f>
        <v>https://yt3.ggpht.com/LGXbi0uLiECOTu9b5wkn0uvjlEzFFS4ShWWiVpNi8NcmGi4tux2o1OjdLKtt1ua0co6Cc6JbEA=s88-c-k-c0x00ffffff-no-rj</v>
      </c>
      <c r="AL257" s="83">
        <v>0</v>
      </c>
      <c r="AM257" s="83">
        <v>0</v>
      </c>
      <c r="AN257" s="83">
        <v>3</v>
      </c>
      <c r="AO257" s="83" t="b">
        <v>0</v>
      </c>
      <c r="AP257" s="83">
        <v>0</v>
      </c>
      <c r="AQ257" s="83"/>
      <c r="AR257" s="83"/>
      <c r="AS257" s="83" t="s">
        <v>2744</v>
      </c>
      <c r="AT257" s="89" t="str">
        <f>HYPERLINK("https://www.youtube.com/channel/UCLRMv-XLvX-TLUuVPC4xN0w")</f>
        <v>https://www.youtube.com/channel/UCLRMv-XLvX-TLUuVPC4xN0w</v>
      </c>
      <c r="AU257" s="83" t="str">
        <f>REPLACE(INDEX(GroupVertices[Group],MATCH(Vertices[[#This Row],[Vertex]],GroupVertices[Vertex],0)),1,1,"")</f>
        <v>2</v>
      </c>
      <c r="AV257" s="45"/>
      <c r="AW257" s="46"/>
      <c r="AX257" s="45"/>
      <c r="AY257" s="46"/>
      <c r="AZ257" s="45"/>
      <c r="BA257" s="46"/>
      <c r="BB257" s="45"/>
      <c r="BC257" s="46"/>
      <c r="BD257" s="45"/>
      <c r="BE257" s="110" t="s">
        <v>1874</v>
      </c>
      <c r="BF257" s="110" t="s">
        <v>1874</v>
      </c>
      <c r="BG257" s="110" t="s">
        <v>1874</v>
      </c>
      <c r="BH257" s="110" t="s">
        <v>1874</v>
      </c>
      <c r="BI257" s="2"/>
    </row>
    <row r="258" spans="1:61" ht="15">
      <c r="A258" s="61" t="s">
        <v>461</v>
      </c>
      <c r="B258" s="62" t="s">
        <v>2893</v>
      </c>
      <c r="C258" s="62"/>
      <c r="D258" s="63">
        <v>100</v>
      </c>
      <c r="E258" s="65">
        <v>50</v>
      </c>
      <c r="F258" s="100" t="str">
        <f>HYPERLINK("https://yt3.ggpht.com/ytc/AGIKgqNYXOMgdLTtsefUiNclPVpg0rFQDvHErQqyrOm8Lg=s88-c-k-c0x00ffffff-no-rj")</f>
        <v>https://yt3.ggpht.com/ytc/AGIKgqNYXOMgdLTtsefUiNclPVpg0rFQDvHErQqyrOm8Lg=s88-c-k-c0x00ffffff-no-rj</v>
      </c>
      <c r="G258" s="62"/>
      <c r="H258" s="66" t="s">
        <v>1299</v>
      </c>
      <c r="I258" s="67"/>
      <c r="J258" s="67" t="s">
        <v>159</v>
      </c>
      <c r="K258" s="66" t="s">
        <v>1299</v>
      </c>
      <c r="L258" s="70"/>
      <c r="M258" s="71">
        <v>2610.554443359375</v>
      </c>
      <c r="N258" s="71">
        <v>6273.24951171875</v>
      </c>
      <c r="O258" s="72"/>
      <c r="P258" s="73"/>
      <c r="Q258" s="73"/>
      <c r="R258" s="94"/>
      <c r="S258" s="45">
        <v>0</v>
      </c>
      <c r="T258" s="45">
        <v>1</v>
      </c>
      <c r="U258" s="46">
        <v>0</v>
      </c>
      <c r="V258" s="46">
        <v>0.096339</v>
      </c>
      <c r="W258" s="46">
        <v>3E-06</v>
      </c>
      <c r="X258" s="46">
        <v>0.002054</v>
      </c>
      <c r="Y258" s="46">
        <v>0</v>
      </c>
      <c r="Z258" s="46">
        <v>0</v>
      </c>
      <c r="AA258" s="68">
        <v>258</v>
      </c>
      <c r="AB258" s="68"/>
      <c r="AC258" s="69"/>
      <c r="AD258" s="83" t="s">
        <v>1299</v>
      </c>
      <c r="AE258" s="83"/>
      <c r="AF258" s="83"/>
      <c r="AG258" s="83"/>
      <c r="AH258" s="83"/>
      <c r="AI258" s="83" t="s">
        <v>2336</v>
      </c>
      <c r="AJ258" s="83" t="s">
        <v>2656</v>
      </c>
      <c r="AK258" s="89" t="str">
        <f>HYPERLINK("https://yt3.ggpht.com/ytc/AGIKgqNYXOMgdLTtsefUiNclPVpg0rFQDvHErQqyrOm8Lg=s88-c-k-c0x00ffffff-no-rj")</f>
        <v>https://yt3.ggpht.com/ytc/AGIKgqNYXOMgdLTtsefUiNclPVpg0rFQDvHErQqyrOm8Lg=s88-c-k-c0x00ffffff-no-rj</v>
      </c>
      <c r="AL258" s="83">
        <v>0</v>
      </c>
      <c r="AM258" s="83">
        <v>0</v>
      </c>
      <c r="AN258" s="83">
        <v>0</v>
      </c>
      <c r="AO258" s="83" t="b">
        <v>0</v>
      </c>
      <c r="AP258" s="83">
        <v>0</v>
      </c>
      <c r="AQ258" s="83"/>
      <c r="AR258" s="83"/>
      <c r="AS258" s="83" t="s">
        <v>2744</v>
      </c>
      <c r="AT258" s="89" t="str">
        <f>HYPERLINK("https://www.youtube.com/channel/UCJDa4Ydx-N1Nmuw91RmWFNw")</f>
        <v>https://www.youtube.com/channel/UCJDa4Ydx-N1Nmuw91RmWFNw</v>
      </c>
      <c r="AU258" s="83" t="str">
        <f>REPLACE(INDEX(GroupVertices[Group],MATCH(Vertices[[#This Row],[Vertex]],GroupVertices[Vertex],0)),1,1,"")</f>
        <v>2</v>
      </c>
      <c r="AV258" s="45"/>
      <c r="AW258" s="46"/>
      <c r="AX258" s="45"/>
      <c r="AY258" s="46"/>
      <c r="AZ258" s="45"/>
      <c r="BA258" s="46"/>
      <c r="BB258" s="45"/>
      <c r="BC258" s="46"/>
      <c r="BD258" s="45"/>
      <c r="BE258" s="110" t="s">
        <v>1874</v>
      </c>
      <c r="BF258" s="110" t="s">
        <v>1874</v>
      </c>
      <c r="BG258" s="110" t="s">
        <v>1874</v>
      </c>
      <c r="BH258" s="110" t="s">
        <v>1874</v>
      </c>
      <c r="BI258" s="2"/>
    </row>
    <row r="259" spans="1:61" ht="15">
      <c r="A259" s="61" t="s">
        <v>462</v>
      </c>
      <c r="B259" s="62" t="s">
        <v>2893</v>
      </c>
      <c r="C259" s="62"/>
      <c r="D259" s="63">
        <v>100</v>
      </c>
      <c r="E259" s="65">
        <v>50</v>
      </c>
      <c r="F259" s="100" t="str">
        <f>HYPERLINK("https://yt3.ggpht.com/ytc/AGIKgqNMnQgH3yptzyjRV5HjWDrRLyTzQuAsvBatcIC2Pg=s88-c-k-c0x00ffffff-no-rj")</f>
        <v>https://yt3.ggpht.com/ytc/AGIKgqNMnQgH3yptzyjRV5HjWDrRLyTzQuAsvBatcIC2Pg=s88-c-k-c0x00ffffff-no-rj</v>
      </c>
      <c r="G259" s="62"/>
      <c r="H259" s="66" t="s">
        <v>1300</v>
      </c>
      <c r="I259" s="67"/>
      <c r="J259" s="67" t="s">
        <v>159</v>
      </c>
      <c r="K259" s="66" t="s">
        <v>1300</v>
      </c>
      <c r="L259" s="70"/>
      <c r="M259" s="71">
        <v>5021.6611328125</v>
      </c>
      <c r="N259" s="71">
        <v>6899.5908203125</v>
      </c>
      <c r="O259" s="72"/>
      <c r="P259" s="73"/>
      <c r="Q259" s="73"/>
      <c r="R259" s="94"/>
      <c r="S259" s="45">
        <v>0</v>
      </c>
      <c r="T259" s="45">
        <v>1</v>
      </c>
      <c r="U259" s="46">
        <v>0</v>
      </c>
      <c r="V259" s="46">
        <v>0.096339</v>
      </c>
      <c r="W259" s="46">
        <v>3E-06</v>
      </c>
      <c r="X259" s="46">
        <v>0.002054</v>
      </c>
      <c r="Y259" s="46">
        <v>0</v>
      </c>
      <c r="Z259" s="46">
        <v>0</v>
      </c>
      <c r="AA259" s="68">
        <v>259</v>
      </c>
      <c r="AB259" s="68"/>
      <c r="AC259" s="69"/>
      <c r="AD259" s="83" t="s">
        <v>1300</v>
      </c>
      <c r="AE259" s="83"/>
      <c r="AF259" s="83"/>
      <c r="AG259" s="83"/>
      <c r="AH259" s="83"/>
      <c r="AI259" s="83" t="s">
        <v>2337</v>
      </c>
      <c r="AJ259" s="83" t="s">
        <v>2657</v>
      </c>
      <c r="AK259" s="89" t="str">
        <f>HYPERLINK("https://yt3.ggpht.com/ytc/AGIKgqNMnQgH3yptzyjRV5HjWDrRLyTzQuAsvBatcIC2Pg=s88-c-k-c0x00ffffff-no-rj")</f>
        <v>https://yt3.ggpht.com/ytc/AGIKgqNMnQgH3yptzyjRV5HjWDrRLyTzQuAsvBatcIC2Pg=s88-c-k-c0x00ffffff-no-rj</v>
      </c>
      <c r="AL259" s="83">
        <v>624</v>
      </c>
      <c r="AM259" s="83">
        <v>0</v>
      </c>
      <c r="AN259" s="83">
        <v>21</v>
      </c>
      <c r="AO259" s="83" t="b">
        <v>0</v>
      </c>
      <c r="AP259" s="83">
        <v>9</v>
      </c>
      <c r="AQ259" s="83"/>
      <c r="AR259" s="83"/>
      <c r="AS259" s="83" t="s">
        <v>2744</v>
      </c>
      <c r="AT259" s="89" t="str">
        <f>HYPERLINK("https://www.youtube.com/channel/UC_e-39jt77tRyz50v16q58g")</f>
        <v>https://www.youtube.com/channel/UC_e-39jt77tRyz50v16q58g</v>
      </c>
      <c r="AU259" s="83" t="str">
        <f>REPLACE(INDEX(GroupVertices[Group],MATCH(Vertices[[#This Row],[Vertex]],GroupVertices[Vertex],0)),1,1,"")</f>
        <v>2</v>
      </c>
      <c r="AV259" s="45"/>
      <c r="AW259" s="46"/>
      <c r="AX259" s="45"/>
      <c r="AY259" s="46"/>
      <c r="AZ259" s="45"/>
      <c r="BA259" s="46"/>
      <c r="BB259" s="45"/>
      <c r="BC259" s="46"/>
      <c r="BD259" s="45"/>
      <c r="BE259" s="110" t="s">
        <v>1874</v>
      </c>
      <c r="BF259" s="110" t="s">
        <v>1874</v>
      </c>
      <c r="BG259" s="110" t="s">
        <v>1874</v>
      </c>
      <c r="BH259" s="110" t="s">
        <v>1874</v>
      </c>
      <c r="BI259" s="2"/>
    </row>
    <row r="260" spans="1:61" ht="15">
      <c r="A260" s="61" t="s">
        <v>463</v>
      </c>
      <c r="B260" s="62" t="s">
        <v>2893</v>
      </c>
      <c r="C260" s="62"/>
      <c r="D260" s="63">
        <v>100</v>
      </c>
      <c r="E260" s="65">
        <v>50</v>
      </c>
      <c r="F260" s="100" t="str">
        <f>HYPERLINK("https://yt3.ggpht.com/ytc/AGIKgqNYYC2xm1YkU9dLCDTbLUnvHfaF545pe9Ie92he7g=s88-c-k-c0x00ffffff-no-rj")</f>
        <v>https://yt3.ggpht.com/ytc/AGIKgqNYYC2xm1YkU9dLCDTbLUnvHfaF545pe9Ie92he7g=s88-c-k-c0x00ffffff-no-rj</v>
      </c>
      <c r="G260" s="62"/>
      <c r="H260" s="66" t="s">
        <v>1301</v>
      </c>
      <c r="I260" s="67"/>
      <c r="J260" s="67" t="s">
        <v>159</v>
      </c>
      <c r="K260" s="66" t="s">
        <v>1301</v>
      </c>
      <c r="L260" s="70"/>
      <c r="M260" s="71">
        <v>4720.2724609375</v>
      </c>
      <c r="N260" s="71">
        <v>6899.5908203125</v>
      </c>
      <c r="O260" s="72"/>
      <c r="P260" s="73"/>
      <c r="Q260" s="73"/>
      <c r="R260" s="94"/>
      <c r="S260" s="45">
        <v>0</v>
      </c>
      <c r="T260" s="45">
        <v>1</v>
      </c>
      <c r="U260" s="46">
        <v>0</v>
      </c>
      <c r="V260" s="46">
        <v>0.096339</v>
      </c>
      <c r="W260" s="46">
        <v>3E-06</v>
      </c>
      <c r="X260" s="46">
        <v>0.002054</v>
      </c>
      <c r="Y260" s="46">
        <v>0</v>
      </c>
      <c r="Z260" s="46">
        <v>0</v>
      </c>
      <c r="AA260" s="68">
        <v>260</v>
      </c>
      <c r="AB260" s="68"/>
      <c r="AC260" s="69"/>
      <c r="AD260" s="83" t="s">
        <v>1301</v>
      </c>
      <c r="AE260" s="83" t="s">
        <v>2013</v>
      </c>
      <c r="AF260" s="83"/>
      <c r="AG260" s="83"/>
      <c r="AH260" s="83"/>
      <c r="AI260" s="83" t="s">
        <v>2338</v>
      </c>
      <c r="AJ260" s="92">
        <v>43165.22305555556</v>
      </c>
      <c r="AK260" s="89" t="str">
        <f>HYPERLINK("https://yt3.ggpht.com/ytc/AGIKgqNYYC2xm1YkU9dLCDTbLUnvHfaF545pe9Ie92he7g=s88-c-k-c0x00ffffff-no-rj")</f>
        <v>https://yt3.ggpht.com/ytc/AGIKgqNYYC2xm1YkU9dLCDTbLUnvHfaF545pe9Ie92he7g=s88-c-k-c0x00ffffff-no-rj</v>
      </c>
      <c r="AL260" s="83">
        <v>0</v>
      </c>
      <c r="AM260" s="83">
        <v>0</v>
      </c>
      <c r="AN260" s="83">
        <v>11</v>
      </c>
      <c r="AO260" s="83" t="b">
        <v>0</v>
      </c>
      <c r="AP260" s="83">
        <v>0</v>
      </c>
      <c r="AQ260" s="83"/>
      <c r="AR260" s="83"/>
      <c r="AS260" s="83" t="s">
        <v>2744</v>
      </c>
      <c r="AT260" s="89" t="str">
        <f>HYPERLINK("https://www.youtube.com/channel/UCpswSTKtiv6vAFFrZaH8caw")</f>
        <v>https://www.youtube.com/channel/UCpswSTKtiv6vAFFrZaH8caw</v>
      </c>
      <c r="AU260" s="83" t="str">
        <f>REPLACE(INDEX(GroupVertices[Group],MATCH(Vertices[[#This Row],[Vertex]],GroupVertices[Vertex],0)),1,1,"")</f>
        <v>2</v>
      </c>
      <c r="AV260" s="45"/>
      <c r="AW260" s="46"/>
      <c r="AX260" s="45"/>
      <c r="AY260" s="46"/>
      <c r="AZ260" s="45"/>
      <c r="BA260" s="46"/>
      <c r="BB260" s="45"/>
      <c r="BC260" s="46"/>
      <c r="BD260" s="45"/>
      <c r="BE260" s="110" t="s">
        <v>1874</v>
      </c>
      <c r="BF260" s="110" t="s">
        <v>1874</v>
      </c>
      <c r="BG260" s="110" t="s">
        <v>1874</v>
      </c>
      <c r="BH260" s="110" t="s">
        <v>1874</v>
      </c>
      <c r="BI260" s="2"/>
    </row>
    <row r="261" spans="1:61" ht="15">
      <c r="A261" s="61" t="s">
        <v>464</v>
      </c>
      <c r="B261" s="62" t="s">
        <v>2893</v>
      </c>
      <c r="C261" s="62"/>
      <c r="D261" s="63">
        <v>100</v>
      </c>
      <c r="E261" s="65">
        <v>50</v>
      </c>
      <c r="F261" s="100" t="str">
        <f>HYPERLINK("https://yt3.ggpht.com/ytc/AGIKgqMQG23cx3xETFC-FfyPwxU8k6S_m-pa0jpU5A1lbBhmoBAgnq7pw2YIp4cBfqYP=s88-c-k-c0x00ffffff-no-rj")</f>
        <v>https://yt3.ggpht.com/ytc/AGIKgqMQG23cx3xETFC-FfyPwxU8k6S_m-pa0jpU5A1lbBhmoBAgnq7pw2YIp4cBfqYP=s88-c-k-c0x00ffffff-no-rj</v>
      </c>
      <c r="G261" s="62"/>
      <c r="H261" s="66" t="s">
        <v>1302</v>
      </c>
      <c r="I261" s="67"/>
      <c r="J261" s="67" t="s">
        <v>159</v>
      </c>
      <c r="K261" s="66" t="s">
        <v>1302</v>
      </c>
      <c r="L261" s="70"/>
      <c r="M261" s="71">
        <v>4418.88427734375</v>
      </c>
      <c r="N261" s="71">
        <v>6899.5908203125</v>
      </c>
      <c r="O261" s="72"/>
      <c r="P261" s="73"/>
      <c r="Q261" s="73"/>
      <c r="R261" s="94"/>
      <c r="S261" s="45">
        <v>0</v>
      </c>
      <c r="T261" s="45">
        <v>1</v>
      </c>
      <c r="U261" s="46">
        <v>0</v>
      </c>
      <c r="V261" s="46">
        <v>0.096339</v>
      </c>
      <c r="W261" s="46">
        <v>3E-06</v>
      </c>
      <c r="X261" s="46">
        <v>0.002054</v>
      </c>
      <c r="Y261" s="46">
        <v>0</v>
      </c>
      <c r="Z261" s="46">
        <v>0</v>
      </c>
      <c r="AA261" s="68">
        <v>261</v>
      </c>
      <c r="AB261" s="68"/>
      <c r="AC261" s="69"/>
      <c r="AD261" s="83" t="s">
        <v>1302</v>
      </c>
      <c r="AE261" s="83"/>
      <c r="AF261" s="83"/>
      <c r="AG261" s="83"/>
      <c r="AH261" s="83"/>
      <c r="AI261" s="83" t="s">
        <v>2339</v>
      </c>
      <c r="AJ261" s="92">
        <v>44326.76358796296</v>
      </c>
      <c r="AK261" s="89" t="str">
        <f>HYPERLINK("https://yt3.ggpht.com/ytc/AGIKgqMQG23cx3xETFC-FfyPwxU8k6S_m-pa0jpU5A1lbBhmoBAgnq7pw2YIp4cBfqYP=s88-c-k-c0x00ffffff-no-rj")</f>
        <v>https://yt3.ggpht.com/ytc/AGIKgqMQG23cx3xETFC-FfyPwxU8k6S_m-pa0jpU5A1lbBhmoBAgnq7pw2YIp4cBfqYP=s88-c-k-c0x00ffffff-no-rj</v>
      </c>
      <c r="AL261" s="83">
        <v>0</v>
      </c>
      <c r="AM261" s="83">
        <v>0</v>
      </c>
      <c r="AN261" s="83">
        <v>0</v>
      </c>
      <c r="AO261" s="83" t="b">
        <v>0</v>
      </c>
      <c r="AP261" s="83">
        <v>0</v>
      </c>
      <c r="AQ261" s="83"/>
      <c r="AR261" s="83"/>
      <c r="AS261" s="83" t="s">
        <v>2744</v>
      </c>
      <c r="AT261" s="89" t="str">
        <f>HYPERLINK("https://www.youtube.com/channel/UCXUZ9R0I5gcUdoXKzCHxRFg")</f>
        <v>https://www.youtube.com/channel/UCXUZ9R0I5gcUdoXKzCHxRFg</v>
      </c>
      <c r="AU261" s="83" t="str">
        <f>REPLACE(INDEX(GroupVertices[Group],MATCH(Vertices[[#This Row],[Vertex]],GroupVertices[Vertex],0)),1,1,"")</f>
        <v>2</v>
      </c>
      <c r="AV261" s="45"/>
      <c r="AW261" s="46"/>
      <c r="AX261" s="45"/>
      <c r="AY261" s="46"/>
      <c r="AZ261" s="45"/>
      <c r="BA261" s="46"/>
      <c r="BB261" s="45"/>
      <c r="BC261" s="46"/>
      <c r="BD261" s="45"/>
      <c r="BE261" s="110" t="s">
        <v>1874</v>
      </c>
      <c r="BF261" s="110" t="s">
        <v>1874</v>
      </c>
      <c r="BG261" s="110" t="s">
        <v>1874</v>
      </c>
      <c r="BH261" s="110" t="s">
        <v>1874</v>
      </c>
      <c r="BI261" s="2"/>
    </row>
    <row r="262" spans="1:61" ht="15">
      <c r="A262" s="61" t="s">
        <v>465</v>
      </c>
      <c r="B262" s="62" t="s">
        <v>2893</v>
      </c>
      <c r="C262" s="62"/>
      <c r="D262" s="63">
        <v>100</v>
      </c>
      <c r="E262" s="65">
        <v>50</v>
      </c>
      <c r="F262" s="100" t="str">
        <f>HYPERLINK("https://yt3.ggpht.com/ytc/AGIKgqMMqj9suQxYoqRBBVDUO_qsSdo25KJF7s-Smhv3IQ=s88-c-k-c0x00ffffff-no-rj")</f>
        <v>https://yt3.ggpht.com/ytc/AGIKgqMMqj9suQxYoqRBBVDUO_qsSdo25KJF7s-Smhv3IQ=s88-c-k-c0x00ffffff-no-rj</v>
      </c>
      <c r="G262" s="62"/>
      <c r="H262" s="66" t="s">
        <v>1303</v>
      </c>
      <c r="I262" s="67"/>
      <c r="J262" s="67" t="s">
        <v>159</v>
      </c>
      <c r="K262" s="66" t="s">
        <v>1303</v>
      </c>
      <c r="L262" s="70"/>
      <c r="M262" s="71">
        <v>4117.49609375</v>
      </c>
      <c r="N262" s="71">
        <v>6899.5908203125</v>
      </c>
      <c r="O262" s="72"/>
      <c r="P262" s="73"/>
      <c r="Q262" s="73"/>
      <c r="R262" s="94"/>
      <c r="S262" s="45">
        <v>0</v>
      </c>
      <c r="T262" s="45">
        <v>1</v>
      </c>
      <c r="U262" s="46">
        <v>0</v>
      </c>
      <c r="V262" s="46">
        <v>0.096339</v>
      </c>
      <c r="W262" s="46">
        <v>3E-06</v>
      </c>
      <c r="X262" s="46">
        <v>0.002054</v>
      </c>
      <c r="Y262" s="46">
        <v>0</v>
      </c>
      <c r="Z262" s="46">
        <v>0</v>
      </c>
      <c r="AA262" s="68">
        <v>262</v>
      </c>
      <c r="AB262" s="68"/>
      <c r="AC262" s="69"/>
      <c r="AD262" s="83" t="s">
        <v>1303</v>
      </c>
      <c r="AE262" s="83"/>
      <c r="AF262" s="83"/>
      <c r="AG262" s="83"/>
      <c r="AH262" s="83"/>
      <c r="AI262" s="83" t="s">
        <v>2340</v>
      </c>
      <c r="AJ262" s="92">
        <v>41979.40967592593</v>
      </c>
      <c r="AK262" s="89" t="str">
        <f>HYPERLINK("https://yt3.ggpht.com/ytc/AGIKgqMMqj9suQxYoqRBBVDUO_qsSdo25KJF7s-Smhv3IQ=s88-c-k-c0x00ffffff-no-rj")</f>
        <v>https://yt3.ggpht.com/ytc/AGIKgqMMqj9suQxYoqRBBVDUO_qsSdo25KJF7s-Smhv3IQ=s88-c-k-c0x00ffffff-no-rj</v>
      </c>
      <c r="AL262" s="83">
        <v>0</v>
      </c>
      <c r="AM262" s="83">
        <v>0</v>
      </c>
      <c r="AN262" s="83">
        <v>4</v>
      </c>
      <c r="AO262" s="83" t="b">
        <v>0</v>
      </c>
      <c r="AP262" s="83">
        <v>0</v>
      </c>
      <c r="AQ262" s="83"/>
      <c r="AR262" s="83"/>
      <c r="AS262" s="83" t="s">
        <v>2744</v>
      </c>
      <c r="AT262" s="89" t="str">
        <f>HYPERLINK("https://www.youtube.com/channel/UC2z5D3ug62MVXMKJr4sdDGQ")</f>
        <v>https://www.youtube.com/channel/UC2z5D3ug62MVXMKJr4sdDGQ</v>
      </c>
      <c r="AU262" s="83" t="str">
        <f>REPLACE(INDEX(GroupVertices[Group],MATCH(Vertices[[#This Row],[Vertex]],GroupVertices[Vertex],0)),1,1,"")</f>
        <v>2</v>
      </c>
      <c r="AV262" s="45"/>
      <c r="AW262" s="46"/>
      <c r="AX262" s="45"/>
      <c r="AY262" s="46"/>
      <c r="AZ262" s="45"/>
      <c r="BA262" s="46"/>
      <c r="BB262" s="45"/>
      <c r="BC262" s="46"/>
      <c r="BD262" s="45"/>
      <c r="BE262" s="110" t="s">
        <v>1874</v>
      </c>
      <c r="BF262" s="110" t="s">
        <v>1874</v>
      </c>
      <c r="BG262" s="110" t="s">
        <v>1874</v>
      </c>
      <c r="BH262" s="110" t="s">
        <v>1874</v>
      </c>
      <c r="BI262" s="2"/>
    </row>
    <row r="263" spans="1:61" ht="15">
      <c r="A263" s="61" t="s">
        <v>466</v>
      </c>
      <c r="B263" s="62" t="s">
        <v>2893</v>
      </c>
      <c r="C263" s="62"/>
      <c r="D263" s="63">
        <v>100</v>
      </c>
      <c r="E263" s="65">
        <v>50</v>
      </c>
      <c r="F263" s="100" t="str">
        <f>HYPERLINK("https://yt3.ggpht.com/ytc/AGIKgqOzMXJbSfha8zGWCA0EQeAioAy0TxcLWGXckg=s88-c-k-c0x00ffffff-no-rj")</f>
        <v>https://yt3.ggpht.com/ytc/AGIKgqOzMXJbSfha8zGWCA0EQeAioAy0TxcLWGXckg=s88-c-k-c0x00ffffff-no-rj</v>
      </c>
      <c r="G263" s="62"/>
      <c r="H263" s="66" t="s">
        <v>1304</v>
      </c>
      <c r="I263" s="67"/>
      <c r="J263" s="67" t="s">
        <v>159</v>
      </c>
      <c r="K263" s="66" t="s">
        <v>1304</v>
      </c>
      <c r="L263" s="70"/>
      <c r="M263" s="71">
        <v>3816.107666015625</v>
      </c>
      <c r="N263" s="71">
        <v>6899.5908203125</v>
      </c>
      <c r="O263" s="72"/>
      <c r="P263" s="73"/>
      <c r="Q263" s="73"/>
      <c r="R263" s="94"/>
      <c r="S263" s="45">
        <v>0</v>
      </c>
      <c r="T263" s="45">
        <v>1</v>
      </c>
      <c r="U263" s="46">
        <v>0</v>
      </c>
      <c r="V263" s="46">
        <v>0.096339</v>
      </c>
      <c r="W263" s="46">
        <v>3E-06</v>
      </c>
      <c r="X263" s="46">
        <v>0.002054</v>
      </c>
      <c r="Y263" s="46">
        <v>0</v>
      </c>
      <c r="Z263" s="46">
        <v>0</v>
      </c>
      <c r="AA263" s="68">
        <v>263</v>
      </c>
      <c r="AB263" s="68"/>
      <c r="AC263" s="69"/>
      <c r="AD263" s="83" t="s">
        <v>1304</v>
      </c>
      <c r="AE263" s="83"/>
      <c r="AF263" s="83"/>
      <c r="AG263" s="83"/>
      <c r="AH263" s="83"/>
      <c r="AI263" s="83" t="s">
        <v>2341</v>
      </c>
      <c r="AJ263" s="83" t="s">
        <v>2658</v>
      </c>
      <c r="AK263" s="89" t="str">
        <f>HYPERLINK("https://yt3.ggpht.com/ytc/AGIKgqOzMXJbSfha8zGWCA0EQeAioAy0TxcLWGXckg=s88-c-k-c0x00ffffff-no-rj")</f>
        <v>https://yt3.ggpht.com/ytc/AGIKgqOzMXJbSfha8zGWCA0EQeAioAy0TxcLWGXckg=s88-c-k-c0x00ffffff-no-rj</v>
      </c>
      <c r="AL263" s="83">
        <v>0</v>
      </c>
      <c r="AM263" s="83">
        <v>0</v>
      </c>
      <c r="AN263" s="83">
        <v>0</v>
      </c>
      <c r="AO263" s="83" t="b">
        <v>0</v>
      </c>
      <c r="AP263" s="83">
        <v>0</v>
      </c>
      <c r="AQ263" s="83"/>
      <c r="AR263" s="83"/>
      <c r="AS263" s="83" t="s">
        <v>2744</v>
      </c>
      <c r="AT263" s="89" t="str">
        <f>HYPERLINK("https://www.youtube.com/channel/UCayhVqIBLOkxqjFFwTOXqKw")</f>
        <v>https://www.youtube.com/channel/UCayhVqIBLOkxqjFFwTOXqKw</v>
      </c>
      <c r="AU263" s="83" t="str">
        <f>REPLACE(INDEX(GroupVertices[Group],MATCH(Vertices[[#This Row],[Vertex]],GroupVertices[Vertex],0)),1,1,"")</f>
        <v>2</v>
      </c>
      <c r="AV263" s="45"/>
      <c r="AW263" s="46"/>
      <c r="AX263" s="45"/>
      <c r="AY263" s="46"/>
      <c r="AZ263" s="45"/>
      <c r="BA263" s="46"/>
      <c r="BB263" s="45"/>
      <c r="BC263" s="46"/>
      <c r="BD263" s="45"/>
      <c r="BE263" s="110" t="s">
        <v>1874</v>
      </c>
      <c r="BF263" s="110" t="s">
        <v>1874</v>
      </c>
      <c r="BG263" s="110" t="s">
        <v>1874</v>
      </c>
      <c r="BH263" s="110" t="s">
        <v>1874</v>
      </c>
      <c r="BI263" s="2"/>
    </row>
    <row r="264" spans="1:61" ht="15">
      <c r="A264" s="61" t="s">
        <v>467</v>
      </c>
      <c r="B264" s="62" t="s">
        <v>2893</v>
      </c>
      <c r="C264" s="62"/>
      <c r="D264" s="63">
        <v>100</v>
      </c>
      <c r="E264" s="65">
        <v>50</v>
      </c>
      <c r="F264" s="100" t="str">
        <f>HYPERLINK("https://yt3.ggpht.com/ytc/AGIKgqP3gtyHeZGr0MBISA7S9fQVT1yYDNlnrTwneA=s88-c-k-c0x00ffffff-no-rj")</f>
        <v>https://yt3.ggpht.com/ytc/AGIKgqP3gtyHeZGr0MBISA7S9fQVT1yYDNlnrTwneA=s88-c-k-c0x00ffffff-no-rj</v>
      </c>
      <c r="G264" s="62"/>
      <c r="H264" s="66" t="s">
        <v>1305</v>
      </c>
      <c r="I264" s="67"/>
      <c r="J264" s="67" t="s">
        <v>159</v>
      </c>
      <c r="K264" s="66" t="s">
        <v>1305</v>
      </c>
      <c r="L264" s="70"/>
      <c r="M264" s="71">
        <v>3514.719482421875</v>
      </c>
      <c r="N264" s="71">
        <v>6899.5908203125</v>
      </c>
      <c r="O264" s="72"/>
      <c r="P264" s="73"/>
      <c r="Q264" s="73"/>
      <c r="R264" s="94"/>
      <c r="S264" s="45">
        <v>0</v>
      </c>
      <c r="T264" s="45">
        <v>1</v>
      </c>
      <c r="U264" s="46">
        <v>0</v>
      </c>
      <c r="V264" s="46">
        <v>0.096339</v>
      </c>
      <c r="W264" s="46">
        <v>3E-06</v>
      </c>
      <c r="X264" s="46">
        <v>0.002054</v>
      </c>
      <c r="Y264" s="46">
        <v>0</v>
      </c>
      <c r="Z264" s="46">
        <v>0</v>
      </c>
      <c r="AA264" s="68">
        <v>264</v>
      </c>
      <c r="AB264" s="68"/>
      <c r="AC264" s="69"/>
      <c r="AD264" s="83" t="s">
        <v>1305</v>
      </c>
      <c r="AE264" s="83"/>
      <c r="AF264" s="83"/>
      <c r="AG264" s="83"/>
      <c r="AH264" s="83"/>
      <c r="AI264" s="83" t="s">
        <v>2342</v>
      </c>
      <c r="AJ264" s="92">
        <v>39727.47384259259</v>
      </c>
      <c r="AK264" s="89" t="str">
        <f>HYPERLINK("https://yt3.ggpht.com/ytc/AGIKgqP3gtyHeZGr0MBISA7S9fQVT1yYDNlnrTwneA=s88-c-k-c0x00ffffff-no-rj")</f>
        <v>https://yt3.ggpht.com/ytc/AGIKgqP3gtyHeZGr0MBISA7S9fQVT1yYDNlnrTwneA=s88-c-k-c0x00ffffff-no-rj</v>
      </c>
      <c r="AL264" s="83">
        <v>0</v>
      </c>
      <c r="AM264" s="83">
        <v>0</v>
      </c>
      <c r="AN264" s="83">
        <v>0</v>
      </c>
      <c r="AO264" s="83" t="b">
        <v>0</v>
      </c>
      <c r="AP264" s="83">
        <v>0</v>
      </c>
      <c r="AQ264" s="83"/>
      <c r="AR264" s="83"/>
      <c r="AS264" s="83" t="s">
        <v>2744</v>
      </c>
      <c r="AT264" s="89" t="str">
        <f>HYPERLINK("https://www.youtube.com/channel/UCkaCGGmbD9HJCSW7BoEDQig")</f>
        <v>https://www.youtube.com/channel/UCkaCGGmbD9HJCSW7BoEDQig</v>
      </c>
      <c r="AU264" s="83" t="str">
        <f>REPLACE(INDEX(GroupVertices[Group],MATCH(Vertices[[#This Row],[Vertex]],GroupVertices[Vertex],0)),1,1,"")</f>
        <v>2</v>
      </c>
      <c r="AV264" s="45"/>
      <c r="AW264" s="46"/>
      <c r="AX264" s="45"/>
      <c r="AY264" s="46"/>
      <c r="AZ264" s="45"/>
      <c r="BA264" s="46"/>
      <c r="BB264" s="45"/>
      <c r="BC264" s="46"/>
      <c r="BD264" s="45"/>
      <c r="BE264" s="110" t="s">
        <v>1874</v>
      </c>
      <c r="BF264" s="110" t="s">
        <v>1874</v>
      </c>
      <c r="BG264" s="110" t="s">
        <v>1874</v>
      </c>
      <c r="BH264" s="110" t="s">
        <v>1874</v>
      </c>
      <c r="BI264" s="2"/>
    </row>
    <row r="265" spans="1:61" ht="15">
      <c r="A265" s="61" t="s">
        <v>468</v>
      </c>
      <c r="B265" s="62" t="s">
        <v>2893</v>
      </c>
      <c r="C265" s="62"/>
      <c r="D265" s="63">
        <v>100</v>
      </c>
      <c r="E265" s="65">
        <v>50</v>
      </c>
      <c r="F265" s="100" t="str">
        <f>HYPERLINK("https://yt3.ggpht.com/t7pD29ceGoWjRAlOTZmGDQYyGP_mCKMYiTYO9HYLL64xA0IiTqtxG7JGT6QCatD-Ep4rFwyP=s88-c-k-c0x00ffffff-no-rj")</f>
        <v>https://yt3.ggpht.com/t7pD29ceGoWjRAlOTZmGDQYyGP_mCKMYiTYO9HYLL64xA0IiTqtxG7JGT6QCatD-Ep4rFwyP=s88-c-k-c0x00ffffff-no-rj</v>
      </c>
      <c r="G265" s="62"/>
      <c r="H265" s="66" t="s">
        <v>1306</v>
      </c>
      <c r="I265" s="67"/>
      <c r="J265" s="67" t="s">
        <v>159</v>
      </c>
      <c r="K265" s="66" t="s">
        <v>1306</v>
      </c>
      <c r="L265" s="70"/>
      <c r="M265" s="71">
        <v>3213.3310546875</v>
      </c>
      <c r="N265" s="71">
        <v>6899.5908203125</v>
      </c>
      <c r="O265" s="72"/>
      <c r="P265" s="73"/>
      <c r="Q265" s="73"/>
      <c r="R265" s="94"/>
      <c r="S265" s="45">
        <v>0</v>
      </c>
      <c r="T265" s="45">
        <v>1</v>
      </c>
      <c r="U265" s="46">
        <v>0</v>
      </c>
      <c r="V265" s="46">
        <v>0.096339</v>
      </c>
      <c r="W265" s="46">
        <v>3E-06</v>
      </c>
      <c r="X265" s="46">
        <v>0.002054</v>
      </c>
      <c r="Y265" s="46">
        <v>0</v>
      </c>
      <c r="Z265" s="46">
        <v>0</v>
      </c>
      <c r="AA265" s="68">
        <v>265</v>
      </c>
      <c r="AB265" s="68"/>
      <c r="AC265" s="69"/>
      <c r="AD265" s="83" t="s">
        <v>1306</v>
      </c>
      <c r="AE265" s="83" t="s">
        <v>2014</v>
      </c>
      <c r="AF265" s="83"/>
      <c r="AG265" s="83"/>
      <c r="AH265" s="83"/>
      <c r="AI265" s="83" t="s">
        <v>2343</v>
      </c>
      <c r="AJ265" s="92">
        <v>44415.56627314815</v>
      </c>
      <c r="AK265" s="89" t="str">
        <f>HYPERLINK("https://yt3.ggpht.com/t7pD29ceGoWjRAlOTZmGDQYyGP_mCKMYiTYO9HYLL64xA0IiTqtxG7JGT6QCatD-Ep4rFwyP=s88-c-k-c0x00ffffff-no-rj")</f>
        <v>https://yt3.ggpht.com/t7pD29ceGoWjRAlOTZmGDQYyGP_mCKMYiTYO9HYLL64xA0IiTqtxG7JGT6QCatD-Ep4rFwyP=s88-c-k-c0x00ffffff-no-rj</v>
      </c>
      <c r="AL265" s="83">
        <v>21064</v>
      </c>
      <c r="AM265" s="83">
        <v>0</v>
      </c>
      <c r="AN265" s="83">
        <v>40</v>
      </c>
      <c r="AO265" s="83" t="b">
        <v>0</v>
      </c>
      <c r="AP265" s="83">
        <v>2</v>
      </c>
      <c r="AQ265" s="83"/>
      <c r="AR265" s="83"/>
      <c r="AS265" s="83" t="s">
        <v>2744</v>
      </c>
      <c r="AT265" s="89" t="str">
        <f>HYPERLINK("https://www.youtube.com/channel/UCmkH1geLuff_x2PLuCmv2mw")</f>
        <v>https://www.youtube.com/channel/UCmkH1geLuff_x2PLuCmv2mw</v>
      </c>
      <c r="AU265" s="83" t="str">
        <f>REPLACE(INDEX(GroupVertices[Group],MATCH(Vertices[[#This Row],[Vertex]],GroupVertices[Vertex],0)),1,1,"")</f>
        <v>2</v>
      </c>
      <c r="AV265" s="45"/>
      <c r="AW265" s="46"/>
      <c r="AX265" s="45"/>
      <c r="AY265" s="46"/>
      <c r="AZ265" s="45"/>
      <c r="BA265" s="46"/>
      <c r="BB265" s="45"/>
      <c r="BC265" s="46"/>
      <c r="BD265" s="45"/>
      <c r="BE265" s="110" t="s">
        <v>1874</v>
      </c>
      <c r="BF265" s="110" t="s">
        <v>1874</v>
      </c>
      <c r="BG265" s="110" t="s">
        <v>1874</v>
      </c>
      <c r="BH265" s="110" t="s">
        <v>1874</v>
      </c>
      <c r="BI265" s="2"/>
    </row>
    <row r="266" spans="1:61" ht="15">
      <c r="A266" s="61" t="s">
        <v>469</v>
      </c>
      <c r="B266" s="62" t="s">
        <v>2893</v>
      </c>
      <c r="C266" s="62"/>
      <c r="D266" s="63">
        <v>100</v>
      </c>
      <c r="E266" s="65">
        <v>50</v>
      </c>
      <c r="F266" s="100" t="str">
        <f>HYPERLINK("https://yt3.ggpht.com/ytc/AGIKgqOCFyW20SIye5VdYrojFwYrItTJcmI6j2vxVQ=s88-c-k-c0x00ffffff-no-rj")</f>
        <v>https://yt3.ggpht.com/ytc/AGIKgqOCFyW20SIye5VdYrojFwYrItTJcmI6j2vxVQ=s88-c-k-c0x00ffffff-no-rj</v>
      </c>
      <c r="G266" s="62"/>
      <c r="H266" s="66" t="s">
        <v>1307</v>
      </c>
      <c r="I266" s="67"/>
      <c r="J266" s="67" t="s">
        <v>159</v>
      </c>
      <c r="K266" s="66" t="s">
        <v>1307</v>
      </c>
      <c r="L266" s="70"/>
      <c r="M266" s="71">
        <v>2911.94287109375</v>
      </c>
      <c r="N266" s="71">
        <v>6899.5908203125</v>
      </c>
      <c r="O266" s="72"/>
      <c r="P266" s="73"/>
      <c r="Q266" s="73"/>
      <c r="R266" s="94"/>
      <c r="S266" s="45">
        <v>0</v>
      </c>
      <c r="T266" s="45">
        <v>1</v>
      </c>
      <c r="U266" s="46">
        <v>0</v>
      </c>
      <c r="V266" s="46">
        <v>0.096339</v>
      </c>
      <c r="W266" s="46">
        <v>3E-06</v>
      </c>
      <c r="X266" s="46">
        <v>0.002054</v>
      </c>
      <c r="Y266" s="46">
        <v>0</v>
      </c>
      <c r="Z266" s="46">
        <v>0</v>
      </c>
      <c r="AA266" s="68">
        <v>266</v>
      </c>
      <c r="AB266" s="68"/>
      <c r="AC266" s="69"/>
      <c r="AD266" s="83" t="s">
        <v>1307</v>
      </c>
      <c r="AE266" s="83"/>
      <c r="AF266" s="83"/>
      <c r="AG266" s="83"/>
      <c r="AH266" s="83"/>
      <c r="AI266" s="83" t="s">
        <v>2344</v>
      </c>
      <c r="AJ266" s="83" t="s">
        <v>2659</v>
      </c>
      <c r="AK266" s="89" t="str">
        <f>HYPERLINK("https://yt3.ggpht.com/ytc/AGIKgqOCFyW20SIye5VdYrojFwYrItTJcmI6j2vxVQ=s88-c-k-c0x00ffffff-no-rj")</f>
        <v>https://yt3.ggpht.com/ytc/AGIKgqOCFyW20SIye5VdYrojFwYrItTJcmI6j2vxVQ=s88-c-k-c0x00ffffff-no-rj</v>
      </c>
      <c r="AL266" s="83">
        <v>0</v>
      </c>
      <c r="AM266" s="83">
        <v>0</v>
      </c>
      <c r="AN266" s="83">
        <v>0</v>
      </c>
      <c r="AO266" s="83" t="b">
        <v>0</v>
      </c>
      <c r="AP266" s="83">
        <v>0</v>
      </c>
      <c r="AQ266" s="83"/>
      <c r="AR266" s="83"/>
      <c r="AS266" s="83" t="s">
        <v>2744</v>
      </c>
      <c r="AT266" s="89" t="str">
        <f>HYPERLINK("https://www.youtube.com/channel/UChRUVc6uxgZF2A14dGfPzCw")</f>
        <v>https://www.youtube.com/channel/UChRUVc6uxgZF2A14dGfPzCw</v>
      </c>
      <c r="AU266" s="83" t="str">
        <f>REPLACE(INDEX(GroupVertices[Group],MATCH(Vertices[[#This Row],[Vertex]],GroupVertices[Vertex],0)),1,1,"")</f>
        <v>2</v>
      </c>
      <c r="AV266" s="45"/>
      <c r="AW266" s="46"/>
      <c r="AX266" s="45"/>
      <c r="AY266" s="46"/>
      <c r="AZ266" s="45"/>
      <c r="BA266" s="46"/>
      <c r="BB266" s="45"/>
      <c r="BC266" s="46"/>
      <c r="BD266" s="45"/>
      <c r="BE266" s="110" t="s">
        <v>1874</v>
      </c>
      <c r="BF266" s="110" t="s">
        <v>1874</v>
      </c>
      <c r="BG266" s="110" t="s">
        <v>1874</v>
      </c>
      <c r="BH266" s="110" t="s">
        <v>1874</v>
      </c>
      <c r="BI266" s="2"/>
    </row>
    <row r="267" spans="1:61" ht="15">
      <c r="A267" s="61" t="s">
        <v>470</v>
      </c>
      <c r="B267" s="62" t="s">
        <v>2893</v>
      </c>
      <c r="C267" s="62"/>
      <c r="D267" s="63">
        <v>100</v>
      </c>
      <c r="E267" s="65">
        <v>50</v>
      </c>
      <c r="F267" s="100" t="str">
        <f>HYPERLINK("https://yt3.ggpht.com/ytc/AGIKgqMvTspiP_x87_jqhQEaHfK3PQsaDgtwEKgOFSJ9GQ=s88-c-k-c0x00ffffff-no-rj")</f>
        <v>https://yt3.ggpht.com/ytc/AGIKgqMvTspiP_x87_jqhQEaHfK3PQsaDgtwEKgOFSJ9GQ=s88-c-k-c0x00ffffff-no-rj</v>
      </c>
      <c r="G267" s="62"/>
      <c r="H267" s="66" t="s">
        <v>1308</v>
      </c>
      <c r="I267" s="67"/>
      <c r="J267" s="67" t="s">
        <v>159</v>
      </c>
      <c r="K267" s="66" t="s">
        <v>1308</v>
      </c>
      <c r="L267" s="70"/>
      <c r="M267" s="71">
        <v>2610.554443359375</v>
      </c>
      <c r="N267" s="71">
        <v>6899.5908203125</v>
      </c>
      <c r="O267" s="72"/>
      <c r="P267" s="73"/>
      <c r="Q267" s="73"/>
      <c r="R267" s="94"/>
      <c r="S267" s="45">
        <v>0</v>
      </c>
      <c r="T267" s="45">
        <v>1</v>
      </c>
      <c r="U267" s="46">
        <v>0</v>
      </c>
      <c r="V267" s="46">
        <v>0.096339</v>
      </c>
      <c r="W267" s="46">
        <v>3E-06</v>
      </c>
      <c r="X267" s="46">
        <v>0.002054</v>
      </c>
      <c r="Y267" s="46">
        <v>0</v>
      </c>
      <c r="Z267" s="46">
        <v>0</v>
      </c>
      <c r="AA267" s="68">
        <v>267</v>
      </c>
      <c r="AB267" s="68"/>
      <c r="AC267" s="69"/>
      <c r="AD267" s="83" t="s">
        <v>1308</v>
      </c>
      <c r="AE267" s="83"/>
      <c r="AF267" s="83"/>
      <c r="AG267" s="83"/>
      <c r="AH267" s="83"/>
      <c r="AI267" s="83" t="s">
        <v>2345</v>
      </c>
      <c r="AJ267" s="92">
        <v>43776.96900462963</v>
      </c>
      <c r="AK267" s="89" t="str">
        <f>HYPERLINK("https://yt3.ggpht.com/ytc/AGIKgqMvTspiP_x87_jqhQEaHfK3PQsaDgtwEKgOFSJ9GQ=s88-c-k-c0x00ffffff-no-rj")</f>
        <v>https://yt3.ggpht.com/ytc/AGIKgqMvTspiP_x87_jqhQEaHfK3PQsaDgtwEKgOFSJ9GQ=s88-c-k-c0x00ffffff-no-rj</v>
      </c>
      <c r="AL267" s="83">
        <v>10</v>
      </c>
      <c r="AM267" s="83">
        <v>0</v>
      </c>
      <c r="AN267" s="83">
        <v>0</v>
      </c>
      <c r="AO267" s="83" t="b">
        <v>0</v>
      </c>
      <c r="AP267" s="83">
        <v>1</v>
      </c>
      <c r="AQ267" s="83"/>
      <c r="AR267" s="83"/>
      <c r="AS267" s="83" t="s">
        <v>2744</v>
      </c>
      <c r="AT267" s="89" t="str">
        <f>HYPERLINK("https://www.youtube.com/channel/UCN6xzOpLWCttxWTEEuWHyDw")</f>
        <v>https://www.youtube.com/channel/UCN6xzOpLWCttxWTEEuWHyDw</v>
      </c>
      <c r="AU267" s="83" t="str">
        <f>REPLACE(INDEX(GroupVertices[Group],MATCH(Vertices[[#This Row],[Vertex]],GroupVertices[Vertex],0)),1,1,"")</f>
        <v>2</v>
      </c>
      <c r="AV267" s="45"/>
      <c r="AW267" s="46"/>
      <c r="AX267" s="45"/>
      <c r="AY267" s="46"/>
      <c r="AZ267" s="45"/>
      <c r="BA267" s="46"/>
      <c r="BB267" s="45"/>
      <c r="BC267" s="46"/>
      <c r="BD267" s="45"/>
      <c r="BE267" s="110" t="s">
        <v>1874</v>
      </c>
      <c r="BF267" s="110" t="s">
        <v>1874</v>
      </c>
      <c r="BG267" s="110" t="s">
        <v>1874</v>
      </c>
      <c r="BH267" s="110" t="s">
        <v>1874</v>
      </c>
      <c r="BI267" s="2"/>
    </row>
    <row r="268" spans="1:61" ht="15">
      <c r="A268" s="61" t="s">
        <v>471</v>
      </c>
      <c r="B268" s="62" t="s">
        <v>2893</v>
      </c>
      <c r="C268" s="62"/>
      <c r="D268" s="63">
        <v>100</v>
      </c>
      <c r="E268" s="65">
        <v>50</v>
      </c>
      <c r="F268" s="100" t="str">
        <f>HYPERLINK("https://yt3.ggpht.com/ytc/AGIKgqNehni3xQx108cYyVxt71sTr1x1en6YIA4RUOVsTON6fQPeWqkoJXRQE8HrOiIN=s88-c-k-c0x00ffffff-no-rj")</f>
        <v>https://yt3.ggpht.com/ytc/AGIKgqNehni3xQx108cYyVxt71sTr1x1en6YIA4RUOVsTON6fQPeWqkoJXRQE8HrOiIN=s88-c-k-c0x00ffffff-no-rj</v>
      </c>
      <c r="G268" s="62"/>
      <c r="H268" s="66" t="s">
        <v>1309</v>
      </c>
      <c r="I268" s="67"/>
      <c r="J268" s="67" t="s">
        <v>159</v>
      </c>
      <c r="K268" s="66" t="s">
        <v>1309</v>
      </c>
      <c r="L268" s="70"/>
      <c r="M268" s="71">
        <v>5021.6611328125</v>
      </c>
      <c r="N268" s="71">
        <v>7525.93310546875</v>
      </c>
      <c r="O268" s="72"/>
      <c r="P268" s="73"/>
      <c r="Q268" s="73"/>
      <c r="R268" s="94"/>
      <c r="S268" s="45">
        <v>0</v>
      </c>
      <c r="T268" s="45">
        <v>1</v>
      </c>
      <c r="U268" s="46">
        <v>0</v>
      </c>
      <c r="V268" s="46">
        <v>0.096339</v>
      </c>
      <c r="W268" s="46">
        <v>3E-06</v>
      </c>
      <c r="X268" s="46">
        <v>0.002054</v>
      </c>
      <c r="Y268" s="46">
        <v>0</v>
      </c>
      <c r="Z268" s="46">
        <v>0</v>
      </c>
      <c r="AA268" s="68">
        <v>268</v>
      </c>
      <c r="AB268" s="68"/>
      <c r="AC268" s="69"/>
      <c r="AD268" s="83" t="s">
        <v>1309</v>
      </c>
      <c r="AE268" s="83"/>
      <c r="AF268" s="83"/>
      <c r="AG268" s="83"/>
      <c r="AH268" s="83"/>
      <c r="AI268" s="83" t="s">
        <v>2346</v>
      </c>
      <c r="AJ268" s="92">
        <v>44542.93015046296</v>
      </c>
      <c r="AK268" s="89" t="str">
        <f>HYPERLINK("https://yt3.ggpht.com/ytc/AGIKgqNehni3xQx108cYyVxt71sTr1x1en6YIA4RUOVsTON6fQPeWqkoJXRQE8HrOiIN=s88-c-k-c0x00ffffff-no-rj")</f>
        <v>https://yt3.ggpht.com/ytc/AGIKgqNehni3xQx108cYyVxt71sTr1x1en6YIA4RUOVsTON6fQPeWqkoJXRQE8HrOiIN=s88-c-k-c0x00ffffff-no-rj</v>
      </c>
      <c r="AL268" s="83">
        <v>0</v>
      </c>
      <c r="AM268" s="83">
        <v>0</v>
      </c>
      <c r="AN268" s="83">
        <v>1</v>
      </c>
      <c r="AO268" s="83" t="b">
        <v>0</v>
      </c>
      <c r="AP268" s="83">
        <v>0</v>
      </c>
      <c r="AQ268" s="83"/>
      <c r="AR268" s="83"/>
      <c r="AS268" s="83" t="s">
        <v>2744</v>
      </c>
      <c r="AT268" s="89" t="str">
        <f>HYPERLINK("https://www.youtube.com/channel/UCoR24RyrEbO94y03yTRJfNA")</f>
        <v>https://www.youtube.com/channel/UCoR24RyrEbO94y03yTRJfNA</v>
      </c>
      <c r="AU268" s="83" t="str">
        <f>REPLACE(INDEX(GroupVertices[Group],MATCH(Vertices[[#This Row],[Vertex]],GroupVertices[Vertex],0)),1,1,"")</f>
        <v>2</v>
      </c>
      <c r="AV268" s="45"/>
      <c r="AW268" s="46"/>
      <c r="AX268" s="45"/>
      <c r="AY268" s="46"/>
      <c r="AZ268" s="45"/>
      <c r="BA268" s="46"/>
      <c r="BB268" s="45"/>
      <c r="BC268" s="46"/>
      <c r="BD268" s="45"/>
      <c r="BE268" s="110" t="s">
        <v>1874</v>
      </c>
      <c r="BF268" s="110" t="s">
        <v>1874</v>
      </c>
      <c r="BG268" s="110" t="s">
        <v>1874</v>
      </c>
      <c r="BH268" s="110" t="s">
        <v>1874</v>
      </c>
      <c r="BI268" s="2"/>
    </row>
    <row r="269" spans="1:61" ht="15">
      <c r="A269" s="61" t="s">
        <v>472</v>
      </c>
      <c r="B269" s="62" t="s">
        <v>2893</v>
      </c>
      <c r="C269" s="62"/>
      <c r="D269" s="63">
        <v>100</v>
      </c>
      <c r="E269" s="65">
        <v>50</v>
      </c>
      <c r="F269" s="100" t="str">
        <f>HYPERLINK("https://yt3.ggpht.com/iIGB6xzfSw4rMbSKWzyvirQX2_nJAHZ_zBXFccA1Ilsxh7bZWBLloQ6ZA4EtLDjwZl8Tl7XMNUE=s88-c-k-c0x00ffffff-no-rj")</f>
        <v>https://yt3.ggpht.com/iIGB6xzfSw4rMbSKWzyvirQX2_nJAHZ_zBXFccA1Ilsxh7bZWBLloQ6ZA4EtLDjwZl8Tl7XMNUE=s88-c-k-c0x00ffffff-no-rj</v>
      </c>
      <c r="G269" s="62"/>
      <c r="H269" s="66" t="s">
        <v>1310</v>
      </c>
      <c r="I269" s="67"/>
      <c r="J269" s="67" t="s">
        <v>159</v>
      </c>
      <c r="K269" s="66" t="s">
        <v>1310</v>
      </c>
      <c r="L269" s="70"/>
      <c r="M269" s="71">
        <v>4720.2724609375</v>
      </c>
      <c r="N269" s="71">
        <v>7525.93310546875</v>
      </c>
      <c r="O269" s="72"/>
      <c r="P269" s="73"/>
      <c r="Q269" s="73"/>
      <c r="R269" s="94"/>
      <c r="S269" s="45">
        <v>0</v>
      </c>
      <c r="T269" s="45">
        <v>1</v>
      </c>
      <c r="U269" s="46">
        <v>0</v>
      </c>
      <c r="V269" s="46">
        <v>0.096339</v>
      </c>
      <c r="W269" s="46">
        <v>3E-06</v>
      </c>
      <c r="X269" s="46">
        <v>0.002054</v>
      </c>
      <c r="Y269" s="46">
        <v>0</v>
      </c>
      <c r="Z269" s="46">
        <v>0</v>
      </c>
      <c r="AA269" s="68">
        <v>269</v>
      </c>
      <c r="AB269" s="68"/>
      <c r="AC269" s="69"/>
      <c r="AD269" s="83" t="s">
        <v>1310</v>
      </c>
      <c r="AE269" s="83" t="s">
        <v>2015</v>
      </c>
      <c r="AF269" s="83"/>
      <c r="AG269" s="83"/>
      <c r="AH269" s="83"/>
      <c r="AI269" s="83" t="s">
        <v>2347</v>
      </c>
      <c r="AJ269" s="92">
        <v>43441.8290162037</v>
      </c>
      <c r="AK269" s="89" t="str">
        <f>HYPERLINK("https://yt3.ggpht.com/iIGB6xzfSw4rMbSKWzyvirQX2_nJAHZ_zBXFccA1Ilsxh7bZWBLloQ6ZA4EtLDjwZl8Tl7XMNUE=s88-c-k-c0x00ffffff-no-rj")</f>
        <v>https://yt3.ggpht.com/iIGB6xzfSw4rMbSKWzyvirQX2_nJAHZ_zBXFccA1Ilsxh7bZWBLloQ6ZA4EtLDjwZl8Tl7XMNUE=s88-c-k-c0x00ffffff-no-rj</v>
      </c>
      <c r="AL269" s="83">
        <v>182</v>
      </c>
      <c r="AM269" s="83">
        <v>0</v>
      </c>
      <c r="AN269" s="83">
        <v>13</v>
      </c>
      <c r="AO269" s="83" t="b">
        <v>0</v>
      </c>
      <c r="AP269" s="83">
        <v>3</v>
      </c>
      <c r="AQ269" s="83"/>
      <c r="AR269" s="83"/>
      <c r="AS269" s="83" t="s">
        <v>2744</v>
      </c>
      <c r="AT269" s="89" t="str">
        <f>HYPERLINK("https://www.youtube.com/channel/UCmbmPOFC5-EBakU7C_E7HhA")</f>
        <v>https://www.youtube.com/channel/UCmbmPOFC5-EBakU7C_E7HhA</v>
      </c>
      <c r="AU269" s="83" t="str">
        <f>REPLACE(INDEX(GroupVertices[Group],MATCH(Vertices[[#This Row],[Vertex]],GroupVertices[Vertex],0)),1,1,"")</f>
        <v>2</v>
      </c>
      <c r="AV269" s="45"/>
      <c r="AW269" s="46"/>
      <c r="AX269" s="45"/>
      <c r="AY269" s="46"/>
      <c r="AZ269" s="45"/>
      <c r="BA269" s="46"/>
      <c r="BB269" s="45"/>
      <c r="BC269" s="46"/>
      <c r="BD269" s="45"/>
      <c r="BE269" s="110" t="s">
        <v>1874</v>
      </c>
      <c r="BF269" s="110" t="s">
        <v>1874</v>
      </c>
      <c r="BG269" s="110" t="s">
        <v>1874</v>
      </c>
      <c r="BH269" s="110" t="s">
        <v>1874</v>
      </c>
      <c r="BI269" s="2"/>
    </row>
    <row r="270" spans="1:61" ht="15">
      <c r="A270" s="61" t="s">
        <v>473</v>
      </c>
      <c r="B270" s="62" t="s">
        <v>2893</v>
      </c>
      <c r="C270" s="62"/>
      <c r="D270" s="63">
        <v>100</v>
      </c>
      <c r="E270" s="65">
        <v>50</v>
      </c>
      <c r="F270" s="100" t="str">
        <f>HYPERLINK("https://yt3.ggpht.com/ytc/AGIKgqNbiMmTFtqhyilACvQ4pvfGuX4OJdoAJOqqBIpGjOg=s88-c-k-c0x00ffffff-no-rj")</f>
        <v>https://yt3.ggpht.com/ytc/AGIKgqNbiMmTFtqhyilACvQ4pvfGuX4OJdoAJOqqBIpGjOg=s88-c-k-c0x00ffffff-no-rj</v>
      </c>
      <c r="G270" s="62"/>
      <c r="H270" s="66" t="s">
        <v>1311</v>
      </c>
      <c r="I270" s="67"/>
      <c r="J270" s="67" t="s">
        <v>159</v>
      </c>
      <c r="K270" s="66" t="s">
        <v>1311</v>
      </c>
      <c r="L270" s="70"/>
      <c r="M270" s="71">
        <v>4418.88427734375</v>
      </c>
      <c r="N270" s="71">
        <v>7525.93310546875</v>
      </c>
      <c r="O270" s="72"/>
      <c r="P270" s="73"/>
      <c r="Q270" s="73"/>
      <c r="R270" s="94"/>
      <c r="S270" s="45">
        <v>0</v>
      </c>
      <c r="T270" s="45">
        <v>1</v>
      </c>
      <c r="U270" s="46">
        <v>0</v>
      </c>
      <c r="V270" s="46">
        <v>0.096339</v>
      </c>
      <c r="W270" s="46">
        <v>3E-06</v>
      </c>
      <c r="X270" s="46">
        <v>0.002054</v>
      </c>
      <c r="Y270" s="46">
        <v>0</v>
      </c>
      <c r="Z270" s="46">
        <v>0</v>
      </c>
      <c r="AA270" s="68">
        <v>270</v>
      </c>
      <c r="AB270" s="68"/>
      <c r="AC270" s="69"/>
      <c r="AD270" s="83" t="s">
        <v>1311</v>
      </c>
      <c r="AE270" s="83"/>
      <c r="AF270" s="83"/>
      <c r="AG270" s="83"/>
      <c r="AH270" s="83"/>
      <c r="AI270" s="83" t="s">
        <v>2348</v>
      </c>
      <c r="AJ270" s="83" t="s">
        <v>2660</v>
      </c>
      <c r="AK270" s="89" t="str">
        <f>HYPERLINK("https://yt3.ggpht.com/ytc/AGIKgqNbiMmTFtqhyilACvQ4pvfGuX4OJdoAJOqqBIpGjOg=s88-c-k-c0x00ffffff-no-rj")</f>
        <v>https://yt3.ggpht.com/ytc/AGIKgqNbiMmTFtqhyilACvQ4pvfGuX4OJdoAJOqqBIpGjOg=s88-c-k-c0x00ffffff-no-rj</v>
      </c>
      <c r="AL270" s="83">
        <v>6</v>
      </c>
      <c r="AM270" s="83">
        <v>0</v>
      </c>
      <c r="AN270" s="83">
        <v>1</v>
      </c>
      <c r="AO270" s="83" t="b">
        <v>0</v>
      </c>
      <c r="AP270" s="83">
        <v>1</v>
      </c>
      <c r="AQ270" s="83"/>
      <c r="AR270" s="83"/>
      <c r="AS270" s="83" t="s">
        <v>2744</v>
      </c>
      <c r="AT270" s="89" t="str">
        <f>HYPERLINK("https://www.youtube.com/channel/UC_zb2ciDFYz_bcIQNt3rOVA")</f>
        <v>https://www.youtube.com/channel/UC_zb2ciDFYz_bcIQNt3rOVA</v>
      </c>
      <c r="AU270" s="83" t="str">
        <f>REPLACE(INDEX(GroupVertices[Group],MATCH(Vertices[[#This Row],[Vertex]],GroupVertices[Vertex],0)),1,1,"")</f>
        <v>2</v>
      </c>
      <c r="AV270" s="45"/>
      <c r="AW270" s="46"/>
      <c r="AX270" s="45"/>
      <c r="AY270" s="46"/>
      <c r="AZ270" s="45"/>
      <c r="BA270" s="46"/>
      <c r="BB270" s="45"/>
      <c r="BC270" s="46"/>
      <c r="BD270" s="45"/>
      <c r="BE270" s="110" t="s">
        <v>1874</v>
      </c>
      <c r="BF270" s="110" t="s">
        <v>1874</v>
      </c>
      <c r="BG270" s="110" t="s">
        <v>1874</v>
      </c>
      <c r="BH270" s="110" t="s">
        <v>1874</v>
      </c>
      <c r="BI270" s="2"/>
    </row>
    <row r="271" spans="1:61" ht="15">
      <c r="A271" s="61" t="s">
        <v>474</v>
      </c>
      <c r="B271" s="62" t="s">
        <v>2893</v>
      </c>
      <c r="C271" s="62"/>
      <c r="D271" s="63">
        <v>100</v>
      </c>
      <c r="E271" s="65">
        <v>50</v>
      </c>
      <c r="F271" s="100" t="str">
        <f>HYPERLINK("https://yt3.ggpht.com/1kdB5IzQy55_Mn_344jHKMdJC7T9G5-fUSlpRw1MwNS8cjFj71IHviVBMTxqtLa2ZN6mXt61eg=s88-c-k-c0x00ffffff-no-rj")</f>
        <v>https://yt3.ggpht.com/1kdB5IzQy55_Mn_344jHKMdJC7T9G5-fUSlpRw1MwNS8cjFj71IHviVBMTxqtLa2ZN6mXt61eg=s88-c-k-c0x00ffffff-no-rj</v>
      </c>
      <c r="G271" s="62"/>
      <c r="H271" s="66" t="s">
        <v>1312</v>
      </c>
      <c r="I271" s="67"/>
      <c r="J271" s="67" t="s">
        <v>159</v>
      </c>
      <c r="K271" s="66" t="s">
        <v>1312</v>
      </c>
      <c r="L271" s="70"/>
      <c r="M271" s="71">
        <v>4117.49609375</v>
      </c>
      <c r="N271" s="71">
        <v>7525.93310546875</v>
      </c>
      <c r="O271" s="72"/>
      <c r="P271" s="73"/>
      <c r="Q271" s="73"/>
      <c r="R271" s="94"/>
      <c r="S271" s="45">
        <v>0</v>
      </c>
      <c r="T271" s="45">
        <v>1</v>
      </c>
      <c r="U271" s="46">
        <v>0</v>
      </c>
      <c r="V271" s="46">
        <v>0.096339</v>
      </c>
      <c r="W271" s="46">
        <v>3E-06</v>
      </c>
      <c r="X271" s="46">
        <v>0.002054</v>
      </c>
      <c r="Y271" s="46">
        <v>0</v>
      </c>
      <c r="Z271" s="46">
        <v>0</v>
      </c>
      <c r="AA271" s="68">
        <v>271</v>
      </c>
      <c r="AB271" s="68"/>
      <c r="AC271" s="69"/>
      <c r="AD271" s="83" t="s">
        <v>1312</v>
      </c>
      <c r="AE271" s="83"/>
      <c r="AF271" s="83"/>
      <c r="AG271" s="83"/>
      <c r="AH271" s="83"/>
      <c r="AI271" s="83" t="s">
        <v>2349</v>
      </c>
      <c r="AJ271" s="83" t="s">
        <v>2661</v>
      </c>
      <c r="AK271" s="89" t="str">
        <f>HYPERLINK("https://yt3.ggpht.com/1kdB5IzQy55_Mn_344jHKMdJC7T9G5-fUSlpRw1MwNS8cjFj71IHviVBMTxqtLa2ZN6mXt61eg=s88-c-k-c0x00ffffff-no-rj")</f>
        <v>https://yt3.ggpht.com/1kdB5IzQy55_Mn_344jHKMdJC7T9G5-fUSlpRw1MwNS8cjFj71IHviVBMTxqtLa2ZN6mXt61eg=s88-c-k-c0x00ffffff-no-rj</v>
      </c>
      <c r="AL271" s="83">
        <v>0</v>
      </c>
      <c r="AM271" s="83">
        <v>0</v>
      </c>
      <c r="AN271" s="83">
        <v>1</v>
      </c>
      <c r="AO271" s="83" t="b">
        <v>0</v>
      </c>
      <c r="AP271" s="83">
        <v>0</v>
      </c>
      <c r="AQ271" s="83"/>
      <c r="AR271" s="83"/>
      <c r="AS271" s="83" t="s">
        <v>2744</v>
      </c>
      <c r="AT271" s="89" t="str">
        <f>HYPERLINK("https://www.youtube.com/channel/UCY6tFUVvwvDT3C2FJnTh6tQ")</f>
        <v>https://www.youtube.com/channel/UCY6tFUVvwvDT3C2FJnTh6tQ</v>
      </c>
      <c r="AU271" s="83" t="str">
        <f>REPLACE(INDEX(GroupVertices[Group],MATCH(Vertices[[#This Row],[Vertex]],GroupVertices[Vertex],0)),1,1,"")</f>
        <v>2</v>
      </c>
      <c r="AV271" s="45"/>
      <c r="AW271" s="46"/>
      <c r="AX271" s="45"/>
      <c r="AY271" s="46"/>
      <c r="AZ271" s="45"/>
      <c r="BA271" s="46"/>
      <c r="BB271" s="45"/>
      <c r="BC271" s="46"/>
      <c r="BD271" s="45"/>
      <c r="BE271" s="110" t="s">
        <v>1874</v>
      </c>
      <c r="BF271" s="110" t="s">
        <v>1874</v>
      </c>
      <c r="BG271" s="110" t="s">
        <v>1874</v>
      </c>
      <c r="BH271" s="110" t="s">
        <v>1874</v>
      </c>
      <c r="BI271" s="2"/>
    </row>
    <row r="272" spans="1:61" ht="15">
      <c r="A272" s="61" t="s">
        <v>475</v>
      </c>
      <c r="B272" s="62" t="s">
        <v>2893</v>
      </c>
      <c r="C272" s="62"/>
      <c r="D272" s="63">
        <v>100</v>
      </c>
      <c r="E272" s="65">
        <v>50</v>
      </c>
      <c r="F272" s="100" t="str">
        <f>HYPERLINK("https://yt3.ggpht.com/zzII0Xiuk4GS1IgDIGdkaCebOGaDIenxEH2HpBCqmob2_2yEk6yOB1Pb_-0fJTzVCT8H_g_B7Q=s88-c-k-c0x00ffffff-no-rj")</f>
        <v>https://yt3.ggpht.com/zzII0Xiuk4GS1IgDIGdkaCebOGaDIenxEH2HpBCqmob2_2yEk6yOB1Pb_-0fJTzVCT8H_g_B7Q=s88-c-k-c0x00ffffff-no-rj</v>
      </c>
      <c r="G272" s="62"/>
      <c r="H272" s="66" t="s">
        <v>1313</v>
      </c>
      <c r="I272" s="67"/>
      <c r="J272" s="67" t="s">
        <v>159</v>
      </c>
      <c r="K272" s="66" t="s">
        <v>1313</v>
      </c>
      <c r="L272" s="70"/>
      <c r="M272" s="71">
        <v>3816.107666015625</v>
      </c>
      <c r="N272" s="71">
        <v>7525.93310546875</v>
      </c>
      <c r="O272" s="72"/>
      <c r="P272" s="73"/>
      <c r="Q272" s="73"/>
      <c r="R272" s="94"/>
      <c r="S272" s="45">
        <v>0</v>
      </c>
      <c r="T272" s="45">
        <v>1</v>
      </c>
      <c r="U272" s="46">
        <v>0</v>
      </c>
      <c r="V272" s="46">
        <v>0.096339</v>
      </c>
      <c r="W272" s="46">
        <v>3E-06</v>
      </c>
      <c r="X272" s="46">
        <v>0.002054</v>
      </c>
      <c r="Y272" s="46">
        <v>0</v>
      </c>
      <c r="Z272" s="46">
        <v>0</v>
      </c>
      <c r="AA272" s="68">
        <v>272</v>
      </c>
      <c r="AB272" s="68"/>
      <c r="AC272" s="69"/>
      <c r="AD272" s="83" t="s">
        <v>1313</v>
      </c>
      <c r="AE272" s="83" t="s">
        <v>2016</v>
      </c>
      <c r="AF272" s="83"/>
      <c r="AG272" s="83"/>
      <c r="AH272" s="83"/>
      <c r="AI272" s="83" t="s">
        <v>2350</v>
      </c>
      <c r="AJ272" s="83" t="s">
        <v>2662</v>
      </c>
      <c r="AK272" s="89" t="str">
        <f>HYPERLINK("https://yt3.ggpht.com/zzII0Xiuk4GS1IgDIGdkaCebOGaDIenxEH2HpBCqmob2_2yEk6yOB1Pb_-0fJTzVCT8H_g_B7Q=s88-c-k-c0x00ffffff-no-rj")</f>
        <v>https://yt3.ggpht.com/zzII0Xiuk4GS1IgDIGdkaCebOGaDIenxEH2HpBCqmob2_2yEk6yOB1Pb_-0fJTzVCT8H_g_B7Q=s88-c-k-c0x00ffffff-no-rj</v>
      </c>
      <c r="AL272" s="83">
        <v>0</v>
      </c>
      <c r="AM272" s="83">
        <v>0</v>
      </c>
      <c r="AN272" s="83">
        <v>12</v>
      </c>
      <c r="AO272" s="83" t="b">
        <v>0</v>
      </c>
      <c r="AP272" s="83">
        <v>0</v>
      </c>
      <c r="AQ272" s="83"/>
      <c r="AR272" s="83"/>
      <c r="AS272" s="83" t="s">
        <v>2744</v>
      </c>
      <c r="AT272" s="89" t="str">
        <f>HYPERLINK("https://www.youtube.com/channel/UC0JxykVO7JUp4VDL8fzmL3A")</f>
        <v>https://www.youtube.com/channel/UC0JxykVO7JUp4VDL8fzmL3A</v>
      </c>
      <c r="AU272" s="83" t="str">
        <f>REPLACE(INDEX(GroupVertices[Group],MATCH(Vertices[[#This Row],[Vertex]],GroupVertices[Vertex],0)),1,1,"")</f>
        <v>2</v>
      </c>
      <c r="AV272" s="45"/>
      <c r="AW272" s="46"/>
      <c r="AX272" s="45"/>
      <c r="AY272" s="46"/>
      <c r="AZ272" s="45"/>
      <c r="BA272" s="46"/>
      <c r="BB272" s="45"/>
      <c r="BC272" s="46"/>
      <c r="BD272" s="45"/>
      <c r="BE272" s="110" t="s">
        <v>1874</v>
      </c>
      <c r="BF272" s="110" t="s">
        <v>1874</v>
      </c>
      <c r="BG272" s="110" t="s">
        <v>1874</v>
      </c>
      <c r="BH272" s="110" t="s">
        <v>1874</v>
      </c>
      <c r="BI272" s="2"/>
    </row>
    <row r="273" spans="1:61" ht="15">
      <c r="A273" s="61" t="s">
        <v>476</v>
      </c>
      <c r="B273" s="62" t="s">
        <v>2893</v>
      </c>
      <c r="C273" s="62"/>
      <c r="D273" s="63">
        <v>100</v>
      </c>
      <c r="E273" s="65">
        <v>50</v>
      </c>
      <c r="F273" s="100" t="str">
        <f>HYPERLINK("https://yt3.ggpht.com/ytc/AGIKgqOsi7Z0IkLVrJyGmkBjiLw20UcktdskCQgQ5rts0Q=s88-c-k-c0x00ffffff-no-rj")</f>
        <v>https://yt3.ggpht.com/ytc/AGIKgqOsi7Z0IkLVrJyGmkBjiLw20UcktdskCQgQ5rts0Q=s88-c-k-c0x00ffffff-no-rj</v>
      </c>
      <c r="G273" s="62"/>
      <c r="H273" s="66" t="s">
        <v>1314</v>
      </c>
      <c r="I273" s="67"/>
      <c r="J273" s="67" t="s">
        <v>159</v>
      </c>
      <c r="K273" s="66" t="s">
        <v>1314</v>
      </c>
      <c r="L273" s="70"/>
      <c r="M273" s="71">
        <v>3514.719482421875</v>
      </c>
      <c r="N273" s="71">
        <v>7525.93310546875</v>
      </c>
      <c r="O273" s="72"/>
      <c r="P273" s="73"/>
      <c r="Q273" s="73"/>
      <c r="R273" s="94"/>
      <c r="S273" s="45">
        <v>0</v>
      </c>
      <c r="T273" s="45">
        <v>1</v>
      </c>
      <c r="U273" s="46">
        <v>0</v>
      </c>
      <c r="V273" s="46">
        <v>0.096339</v>
      </c>
      <c r="W273" s="46">
        <v>3E-06</v>
      </c>
      <c r="X273" s="46">
        <v>0.002054</v>
      </c>
      <c r="Y273" s="46">
        <v>0</v>
      </c>
      <c r="Z273" s="46">
        <v>0</v>
      </c>
      <c r="AA273" s="68">
        <v>273</v>
      </c>
      <c r="AB273" s="68"/>
      <c r="AC273" s="69"/>
      <c r="AD273" s="83" t="s">
        <v>1314</v>
      </c>
      <c r="AE273" s="83"/>
      <c r="AF273" s="83"/>
      <c r="AG273" s="83"/>
      <c r="AH273" s="83"/>
      <c r="AI273" s="83" t="s">
        <v>2351</v>
      </c>
      <c r="AJ273" s="83" t="s">
        <v>2663</v>
      </c>
      <c r="AK273" s="89" t="str">
        <f>HYPERLINK("https://yt3.ggpht.com/ytc/AGIKgqOsi7Z0IkLVrJyGmkBjiLw20UcktdskCQgQ5rts0Q=s88-c-k-c0x00ffffff-no-rj")</f>
        <v>https://yt3.ggpht.com/ytc/AGIKgqOsi7Z0IkLVrJyGmkBjiLw20UcktdskCQgQ5rts0Q=s88-c-k-c0x00ffffff-no-rj</v>
      </c>
      <c r="AL273" s="83">
        <v>0</v>
      </c>
      <c r="AM273" s="83">
        <v>0</v>
      </c>
      <c r="AN273" s="83">
        <v>3</v>
      </c>
      <c r="AO273" s="83" t="b">
        <v>0</v>
      </c>
      <c r="AP273" s="83">
        <v>0</v>
      </c>
      <c r="AQ273" s="83"/>
      <c r="AR273" s="83"/>
      <c r="AS273" s="83" t="s">
        <v>2744</v>
      </c>
      <c r="AT273" s="89" t="str">
        <f>HYPERLINK("https://www.youtube.com/channel/UCpMTw6Uv2cSKVf5DYg5brMg")</f>
        <v>https://www.youtube.com/channel/UCpMTw6Uv2cSKVf5DYg5brMg</v>
      </c>
      <c r="AU273" s="83" t="str">
        <f>REPLACE(INDEX(GroupVertices[Group],MATCH(Vertices[[#This Row],[Vertex]],GroupVertices[Vertex],0)),1,1,"")</f>
        <v>2</v>
      </c>
      <c r="AV273" s="45"/>
      <c r="AW273" s="46"/>
      <c r="AX273" s="45"/>
      <c r="AY273" s="46"/>
      <c r="AZ273" s="45"/>
      <c r="BA273" s="46"/>
      <c r="BB273" s="45"/>
      <c r="BC273" s="46"/>
      <c r="BD273" s="45"/>
      <c r="BE273" s="110" t="s">
        <v>1874</v>
      </c>
      <c r="BF273" s="110" t="s">
        <v>1874</v>
      </c>
      <c r="BG273" s="110" t="s">
        <v>1874</v>
      </c>
      <c r="BH273" s="110" t="s">
        <v>1874</v>
      </c>
      <c r="BI273" s="2"/>
    </row>
    <row r="274" spans="1:61" ht="15">
      <c r="A274" s="61" t="s">
        <v>477</v>
      </c>
      <c r="B274" s="62" t="s">
        <v>2893</v>
      </c>
      <c r="C274" s="62"/>
      <c r="D274" s="63">
        <v>100</v>
      </c>
      <c r="E274" s="65">
        <v>50</v>
      </c>
      <c r="F274" s="100" t="str">
        <f>HYPERLINK("https://yt3.ggpht.com/ytc/AGIKgqN5XOzSqZRkTQq6_Law-mpIgI4SnAmMs8mwdA=s88-c-k-c0x00ffffff-no-rj")</f>
        <v>https://yt3.ggpht.com/ytc/AGIKgqN5XOzSqZRkTQq6_Law-mpIgI4SnAmMs8mwdA=s88-c-k-c0x00ffffff-no-rj</v>
      </c>
      <c r="G274" s="62"/>
      <c r="H274" s="66" t="s">
        <v>1315</v>
      </c>
      <c r="I274" s="67"/>
      <c r="J274" s="67" t="s">
        <v>159</v>
      </c>
      <c r="K274" s="66" t="s">
        <v>1315</v>
      </c>
      <c r="L274" s="70"/>
      <c r="M274" s="71">
        <v>3213.3310546875</v>
      </c>
      <c r="N274" s="71">
        <v>7525.93310546875</v>
      </c>
      <c r="O274" s="72"/>
      <c r="P274" s="73"/>
      <c r="Q274" s="73"/>
      <c r="R274" s="94"/>
      <c r="S274" s="45">
        <v>0</v>
      </c>
      <c r="T274" s="45">
        <v>1</v>
      </c>
      <c r="U274" s="46">
        <v>0</v>
      </c>
      <c r="V274" s="46">
        <v>0.096339</v>
      </c>
      <c r="W274" s="46">
        <v>3E-06</v>
      </c>
      <c r="X274" s="46">
        <v>0.002054</v>
      </c>
      <c r="Y274" s="46">
        <v>0</v>
      </c>
      <c r="Z274" s="46">
        <v>0</v>
      </c>
      <c r="AA274" s="68">
        <v>274</v>
      </c>
      <c r="AB274" s="68"/>
      <c r="AC274" s="69"/>
      <c r="AD274" s="83" t="s">
        <v>1315</v>
      </c>
      <c r="AE274" s="83"/>
      <c r="AF274" s="83"/>
      <c r="AG274" s="83"/>
      <c r="AH274" s="83"/>
      <c r="AI274" s="83" t="s">
        <v>2352</v>
      </c>
      <c r="AJ274" s="92">
        <v>43930.83378472222</v>
      </c>
      <c r="AK274" s="89" t="str">
        <f>HYPERLINK("https://yt3.ggpht.com/ytc/AGIKgqN5XOzSqZRkTQq6_Law-mpIgI4SnAmMs8mwdA=s88-c-k-c0x00ffffff-no-rj")</f>
        <v>https://yt3.ggpht.com/ytc/AGIKgqN5XOzSqZRkTQq6_Law-mpIgI4SnAmMs8mwdA=s88-c-k-c0x00ffffff-no-rj</v>
      </c>
      <c r="AL274" s="83">
        <v>0</v>
      </c>
      <c r="AM274" s="83">
        <v>0</v>
      </c>
      <c r="AN274" s="83">
        <v>1</v>
      </c>
      <c r="AO274" s="83" t="b">
        <v>0</v>
      </c>
      <c r="AP274" s="83">
        <v>0</v>
      </c>
      <c r="AQ274" s="83"/>
      <c r="AR274" s="83"/>
      <c r="AS274" s="83" t="s">
        <v>2744</v>
      </c>
      <c r="AT274" s="89" t="str">
        <f>HYPERLINK("https://www.youtube.com/channel/UCYN3TXrNLda066KXArVRDGw")</f>
        <v>https://www.youtube.com/channel/UCYN3TXrNLda066KXArVRDGw</v>
      </c>
      <c r="AU274" s="83" t="str">
        <f>REPLACE(INDEX(GroupVertices[Group],MATCH(Vertices[[#This Row],[Vertex]],GroupVertices[Vertex],0)),1,1,"")</f>
        <v>2</v>
      </c>
      <c r="AV274" s="45"/>
      <c r="AW274" s="46"/>
      <c r="AX274" s="45"/>
      <c r="AY274" s="46"/>
      <c r="AZ274" s="45"/>
      <c r="BA274" s="46"/>
      <c r="BB274" s="45"/>
      <c r="BC274" s="46"/>
      <c r="BD274" s="45"/>
      <c r="BE274" s="110" t="s">
        <v>1874</v>
      </c>
      <c r="BF274" s="110" t="s">
        <v>1874</v>
      </c>
      <c r="BG274" s="110" t="s">
        <v>1874</v>
      </c>
      <c r="BH274" s="110" t="s">
        <v>1874</v>
      </c>
      <c r="BI274" s="2"/>
    </row>
    <row r="275" spans="1:61" ht="15">
      <c r="A275" s="61" t="s">
        <v>478</v>
      </c>
      <c r="B275" s="62" t="s">
        <v>2893</v>
      </c>
      <c r="C275" s="62"/>
      <c r="D275" s="63">
        <v>100</v>
      </c>
      <c r="E275" s="65">
        <v>50</v>
      </c>
      <c r="F275" s="100" t="str">
        <f>HYPERLINK("https://yt3.ggpht.com/52ylFKssA12BA5BFpvd0eRCJeo9mO8yFcOHCVy9nfE8u3mJWDzlVYL7Zx4o6rfWdXApEnMfieA=s88-c-k-c0x00ffffff-no-rj")</f>
        <v>https://yt3.ggpht.com/52ylFKssA12BA5BFpvd0eRCJeo9mO8yFcOHCVy9nfE8u3mJWDzlVYL7Zx4o6rfWdXApEnMfieA=s88-c-k-c0x00ffffff-no-rj</v>
      </c>
      <c r="G275" s="62"/>
      <c r="H275" s="66" t="s">
        <v>1316</v>
      </c>
      <c r="I275" s="67"/>
      <c r="J275" s="67" t="s">
        <v>159</v>
      </c>
      <c r="K275" s="66" t="s">
        <v>1316</v>
      </c>
      <c r="L275" s="70"/>
      <c r="M275" s="71">
        <v>2911.94287109375</v>
      </c>
      <c r="N275" s="71">
        <v>7525.93310546875</v>
      </c>
      <c r="O275" s="72"/>
      <c r="P275" s="73"/>
      <c r="Q275" s="73"/>
      <c r="R275" s="94"/>
      <c r="S275" s="45">
        <v>0</v>
      </c>
      <c r="T275" s="45">
        <v>1</v>
      </c>
      <c r="U275" s="46">
        <v>0</v>
      </c>
      <c r="V275" s="46">
        <v>0.096339</v>
      </c>
      <c r="W275" s="46">
        <v>3E-06</v>
      </c>
      <c r="X275" s="46">
        <v>0.002054</v>
      </c>
      <c r="Y275" s="46">
        <v>0</v>
      </c>
      <c r="Z275" s="46">
        <v>0</v>
      </c>
      <c r="AA275" s="68">
        <v>275</v>
      </c>
      <c r="AB275" s="68"/>
      <c r="AC275" s="69"/>
      <c r="AD275" s="83" t="s">
        <v>1316</v>
      </c>
      <c r="AE275" s="83" t="s">
        <v>2017</v>
      </c>
      <c r="AF275" s="83"/>
      <c r="AG275" s="83"/>
      <c r="AH275" s="83"/>
      <c r="AI275" s="83" t="s">
        <v>2353</v>
      </c>
      <c r="AJ275" s="92">
        <v>43012.53261574074</v>
      </c>
      <c r="AK275" s="89" t="str">
        <f>HYPERLINK("https://yt3.ggpht.com/52ylFKssA12BA5BFpvd0eRCJeo9mO8yFcOHCVy9nfE8u3mJWDzlVYL7Zx4o6rfWdXApEnMfieA=s88-c-k-c0x00ffffff-no-rj")</f>
        <v>https://yt3.ggpht.com/52ylFKssA12BA5BFpvd0eRCJeo9mO8yFcOHCVy9nfE8u3mJWDzlVYL7Zx4o6rfWdXApEnMfieA=s88-c-k-c0x00ffffff-no-rj</v>
      </c>
      <c r="AL275" s="83">
        <v>0</v>
      </c>
      <c r="AM275" s="83">
        <v>0</v>
      </c>
      <c r="AN275" s="83">
        <v>10</v>
      </c>
      <c r="AO275" s="83" t="b">
        <v>0</v>
      </c>
      <c r="AP275" s="83">
        <v>0</v>
      </c>
      <c r="AQ275" s="83"/>
      <c r="AR275" s="83"/>
      <c r="AS275" s="83" t="s">
        <v>2744</v>
      </c>
      <c r="AT275" s="89" t="str">
        <f>HYPERLINK("https://www.youtube.com/channel/UCKZfiiEgb52j7bJC78LMRJQ")</f>
        <v>https://www.youtube.com/channel/UCKZfiiEgb52j7bJC78LMRJQ</v>
      </c>
      <c r="AU275" s="83" t="str">
        <f>REPLACE(INDEX(GroupVertices[Group],MATCH(Vertices[[#This Row],[Vertex]],GroupVertices[Vertex],0)),1,1,"")</f>
        <v>2</v>
      </c>
      <c r="AV275" s="45"/>
      <c r="AW275" s="46"/>
      <c r="AX275" s="45"/>
      <c r="AY275" s="46"/>
      <c r="AZ275" s="45"/>
      <c r="BA275" s="46"/>
      <c r="BB275" s="45"/>
      <c r="BC275" s="46"/>
      <c r="BD275" s="45"/>
      <c r="BE275" s="110" t="s">
        <v>1874</v>
      </c>
      <c r="BF275" s="110" t="s">
        <v>1874</v>
      </c>
      <c r="BG275" s="110" t="s">
        <v>1874</v>
      </c>
      <c r="BH275" s="110" t="s">
        <v>1874</v>
      </c>
      <c r="BI275" s="2"/>
    </row>
    <row r="276" spans="1:61" ht="15">
      <c r="A276" s="61" t="s">
        <v>479</v>
      </c>
      <c r="B276" s="62" t="s">
        <v>2893</v>
      </c>
      <c r="C276" s="62"/>
      <c r="D276" s="63">
        <v>100</v>
      </c>
      <c r="E276" s="65">
        <v>50</v>
      </c>
      <c r="F276" s="100" t="str">
        <f>HYPERLINK("https://yt3.ggpht.com/ytc/AGIKgqNi5DQtQSqafEUnt_ewuYYG62U_vH1X3j6mCQ=s88-c-k-c0x00ffffff-no-rj")</f>
        <v>https://yt3.ggpht.com/ytc/AGIKgqNi5DQtQSqafEUnt_ewuYYG62U_vH1X3j6mCQ=s88-c-k-c0x00ffffff-no-rj</v>
      </c>
      <c r="G276" s="62"/>
      <c r="H276" s="66" t="s">
        <v>1317</v>
      </c>
      <c r="I276" s="67"/>
      <c r="J276" s="67" t="s">
        <v>159</v>
      </c>
      <c r="K276" s="66" t="s">
        <v>1317</v>
      </c>
      <c r="L276" s="70"/>
      <c r="M276" s="71">
        <v>2610.554443359375</v>
      </c>
      <c r="N276" s="71">
        <v>7525.93310546875</v>
      </c>
      <c r="O276" s="72"/>
      <c r="P276" s="73"/>
      <c r="Q276" s="73"/>
      <c r="R276" s="94"/>
      <c r="S276" s="45">
        <v>0</v>
      </c>
      <c r="T276" s="45">
        <v>1</v>
      </c>
      <c r="U276" s="46">
        <v>0</v>
      </c>
      <c r="V276" s="46">
        <v>0.096339</v>
      </c>
      <c r="W276" s="46">
        <v>3E-06</v>
      </c>
      <c r="X276" s="46">
        <v>0.002054</v>
      </c>
      <c r="Y276" s="46">
        <v>0</v>
      </c>
      <c r="Z276" s="46">
        <v>0</v>
      </c>
      <c r="AA276" s="68">
        <v>276</v>
      </c>
      <c r="AB276" s="68"/>
      <c r="AC276" s="69"/>
      <c r="AD276" s="83" t="s">
        <v>1317</v>
      </c>
      <c r="AE276" s="83"/>
      <c r="AF276" s="83"/>
      <c r="AG276" s="83"/>
      <c r="AH276" s="83"/>
      <c r="AI276" s="83" t="s">
        <v>2354</v>
      </c>
      <c r="AJ276" s="83" t="s">
        <v>2664</v>
      </c>
      <c r="AK276" s="89" t="str">
        <f>HYPERLINK("https://yt3.ggpht.com/ytc/AGIKgqNi5DQtQSqafEUnt_ewuYYG62U_vH1X3j6mCQ=s88-c-k-c0x00ffffff-no-rj")</f>
        <v>https://yt3.ggpht.com/ytc/AGIKgqNi5DQtQSqafEUnt_ewuYYG62U_vH1X3j6mCQ=s88-c-k-c0x00ffffff-no-rj</v>
      </c>
      <c r="AL276" s="83">
        <v>0</v>
      </c>
      <c r="AM276" s="83">
        <v>0</v>
      </c>
      <c r="AN276" s="83">
        <v>2</v>
      </c>
      <c r="AO276" s="83" t="b">
        <v>0</v>
      </c>
      <c r="AP276" s="83">
        <v>0</v>
      </c>
      <c r="AQ276" s="83"/>
      <c r="AR276" s="83"/>
      <c r="AS276" s="83" t="s">
        <v>2744</v>
      </c>
      <c r="AT276" s="89" t="str">
        <f>HYPERLINK("https://www.youtube.com/channel/UC4VVqyAPChhP8a3GnmE61AQ")</f>
        <v>https://www.youtube.com/channel/UC4VVqyAPChhP8a3GnmE61AQ</v>
      </c>
      <c r="AU276" s="83" t="str">
        <f>REPLACE(INDEX(GroupVertices[Group],MATCH(Vertices[[#This Row],[Vertex]],GroupVertices[Vertex],0)),1,1,"")</f>
        <v>2</v>
      </c>
      <c r="AV276" s="45"/>
      <c r="AW276" s="46"/>
      <c r="AX276" s="45"/>
      <c r="AY276" s="46"/>
      <c r="AZ276" s="45"/>
      <c r="BA276" s="46"/>
      <c r="BB276" s="45"/>
      <c r="BC276" s="46"/>
      <c r="BD276" s="45"/>
      <c r="BE276" s="110" t="s">
        <v>1874</v>
      </c>
      <c r="BF276" s="110" t="s">
        <v>1874</v>
      </c>
      <c r="BG276" s="110" t="s">
        <v>1874</v>
      </c>
      <c r="BH276" s="110" t="s">
        <v>1874</v>
      </c>
      <c r="BI276" s="2"/>
    </row>
    <row r="277" spans="1:61" ht="15">
      <c r="A277" s="61" t="s">
        <v>480</v>
      </c>
      <c r="B277" s="62" t="s">
        <v>2893</v>
      </c>
      <c r="C277" s="62"/>
      <c r="D277" s="63">
        <v>100</v>
      </c>
      <c r="E277" s="65">
        <v>50</v>
      </c>
      <c r="F277" s="100" t="str">
        <f>HYPERLINK("https://yt3.ggpht.com/ytc/AGIKgqNjsYfzQgTX2cupMeesgkWz6PPdn_9efYPd5P8E=s88-c-k-c0x00ffffff-no-rj")</f>
        <v>https://yt3.ggpht.com/ytc/AGIKgqNjsYfzQgTX2cupMeesgkWz6PPdn_9efYPd5P8E=s88-c-k-c0x00ffffff-no-rj</v>
      </c>
      <c r="G277" s="62"/>
      <c r="H277" s="66" t="s">
        <v>1318</v>
      </c>
      <c r="I277" s="67"/>
      <c r="J277" s="67" t="s">
        <v>159</v>
      </c>
      <c r="K277" s="66" t="s">
        <v>1318</v>
      </c>
      <c r="L277" s="70"/>
      <c r="M277" s="71">
        <v>5021.6611328125</v>
      </c>
      <c r="N277" s="71">
        <v>8152.2744140625</v>
      </c>
      <c r="O277" s="72"/>
      <c r="P277" s="73"/>
      <c r="Q277" s="73"/>
      <c r="R277" s="94"/>
      <c r="S277" s="45">
        <v>0</v>
      </c>
      <c r="T277" s="45">
        <v>1</v>
      </c>
      <c r="U277" s="46">
        <v>0</v>
      </c>
      <c r="V277" s="46">
        <v>0.096339</v>
      </c>
      <c r="W277" s="46">
        <v>3E-06</v>
      </c>
      <c r="X277" s="46">
        <v>0.002054</v>
      </c>
      <c r="Y277" s="46">
        <v>0</v>
      </c>
      <c r="Z277" s="46">
        <v>0</v>
      </c>
      <c r="AA277" s="68">
        <v>277</v>
      </c>
      <c r="AB277" s="68"/>
      <c r="AC277" s="69"/>
      <c r="AD277" s="83" t="s">
        <v>1318</v>
      </c>
      <c r="AE277" s="83"/>
      <c r="AF277" s="83"/>
      <c r="AG277" s="83"/>
      <c r="AH277" s="83"/>
      <c r="AI277" s="83" t="s">
        <v>2355</v>
      </c>
      <c r="AJ277" s="83" t="s">
        <v>2665</v>
      </c>
      <c r="AK277" s="89" t="str">
        <f>HYPERLINK("https://yt3.ggpht.com/ytc/AGIKgqNjsYfzQgTX2cupMeesgkWz6PPdn_9efYPd5P8E=s88-c-k-c0x00ffffff-no-rj")</f>
        <v>https://yt3.ggpht.com/ytc/AGIKgqNjsYfzQgTX2cupMeesgkWz6PPdn_9efYPd5P8E=s88-c-k-c0x00ffffff-no-rj</v>
      </c>
      <c r="AL277" s="83">
        <v>0</v>
      </c>
      <c r="AM277" s="83">
        <v>0</v>
      </c>
      <c r="AN277" s="83">
        <v>1</v>
      </c>
      <c r="AO277" s="83" t="b">
        <v>0</v>
      </c>
      <c r="AP277" s="83">
        <v>0</v>
      </c>
      <c r="AQ277" s="83"/>
      <c r="AR277" s="83"/>
      <c r="AS277" s="83" t="s">
        <v>2744</v>
      </c>
      <c r="AT277" s="89" t="str">
        <f>HYPERLINK("https://www.youtube.com/channel/UC91g7ZXcm3MhwxuNVhiPgDg")</f>
        <v>https://www.youtube.com/channel/UC91g7ZXcm3MhwxuNVhiPgDg</v>
      </c>
      <c r="AU277" s="83" t="str">
        <f>REPLACE(INDEX(GroupVertices[Group],MATCH(Vertices[[#This Row],[Vertex]],GroupVertices[Vertex],0)),1,1,"")</f>
        <v>2</v>
      </c>
      <c r="AV277" s="45"/>
      <c r="AW277" s="46"/>
      <c r="AX277" s="45"/>
      <c r="AY277" s="46"/>
      <c r="AZ277" s="45"/>
      <c r="BA277" s="46"/>
      <c r="BB277" s="45"/>
      <c r="BC277" s="46"/>
      <c r="BD277" s="45"/>
      <c r="BE277" s="110" t="s">
        <v>1874</v>
      </c>
      <c r="BF277" s="110" t="s">
        <v>1874</v>
      </c>
      <c r="BG277" s="110" t="s">
        <v>1874</v>
      </c>
      <c r="BH277" s="110" t="s">
        <v>1874</v>
      </c>
      <c r="BI277" s="2"/>
    </row>
    <row r="278" spans="1:61" ht="15">
      <c r="A278" s="61" t="s">
        <v>481</v>
      </c>
      <c r="B278" s="62" t="s">
        <v>2893</v>
      </c>
      <c r="C278" s="62"/>
      <c r="D278" s="63">
        <v>100</v>
      </c>
      <c r="E278" s="65">
        <v>50</v>
      </c>
      <c r="F278" s="100" t="str">
        <f>HYPERLINK("https://yt3.ggpht.com/ytc/AGIKgqMNYtugdrv6jY6v4BXUMxWjvU7pAX3jy7do0Q=s88-c-k-c0x00ffffff-no-rj")</f>
        <v>https://yt3.ggpht.com/ytc/AGIKgqMNYtugdrv6jY6v4BXUMxWjvU7pAX3jy7do0Q=s88-c-k-c0x00ffffff-no-rj</v>
      </c>
      <c r="G278" s="62"/>
      <c r="H278" s="66" t="s">
        <v>1319</v>
      </c>
      <c r="I278" s="67"/>
      <c r="J278" s="67" t="s">
        <v>159</v>
      </c>
      <c r="K278" s="66" t="s">
        <v>1319</v>
      </c>
      <c r="L278" s="70"/>
      <c r="M278" s="71">
        <v>4720.2724609375</v>
      </c>
      <c r="N278" s="71">
        <v>8152.2744140625</v>
      </c>
      <c r="O278" s="72"/>
      <c r="P278" s="73"/>
      <c r="Q278" s="73"/>
      <c r="R278" s="94"/>
      <c r="S278" s="45">
        <v>0</v>
      </c>
      <c r="T278" s="45">
        <v>1</v>
      </c>
      <c r="U278" s="46">
        <v>0</v>
      </c>
      <c r="V278" s="46">
        <v>0.096339</v>
      </c>
      <c r="W278" s="46">
        <v>3E-06</v>
      </c>
      <c r="X278" s="46">
        <v>0.002054</v>
      </c>
      <c r="Y278" s="46">
        <v>0</v>
      </c>
      <c r="Z278" s="46">
        <v>0</v>
      </c>
      <c r="AA278" s="68">
        <v>278</v>
      </c>
      <c r="AB278" s="68"/>
      <c r="AC278" s="69"/>
      <c r="AD278" s="83" t="s">
        <v>1319</v>
      </c>
      <c r="AE278" s="83"/>
      <c r="AF278" s="83"/>
      <c r="AG278" s="83"/>
      <c r="AH278" s="83"/>
      <c r="AI278" s="83" t="s">
        <v>2356</v>
      </c>
      <c r="AJ278" s="83" t="s">
        <v>2666</v>
      </c>
      <c r="AK278" s="89" t="str">
        <f>HYPERLINK("https://yt3.ggpht.com/ytc/AGIKgqMNYtugdrv6jY6v4BXUMxWjvU7pAX3jy7do0Q=s88-c-k-c0x00ffffff-no-rj")</f>
        <v>https://yt3.ggpht.com/ytc/AGIKgqMNYtugdrv6jY6v4BXUMxWjvU7pAX3jy7do0Q=s88-c-k-c0x00ffffff-no-rj</v>
      </c>
      <c r="AL278" s="83">
        <v>0</v>
      </c>
      <c r="AM278" s="83">
        <v>0</v>
      </c>
      <c r="AN278" s="83">
        <v>0</v>
      </c>
      <c r="AO278" s="83" t="b">
        <v>0</v>
      </c>
      <c r="AP278" s="83">
        <v>0</v>
      </c>
      <c r="AQ278" s="83"/>
      <c r="AR278" s="83"/>
      <c r="AS278" s="83" t="s">
        <v>2744</v>
      </c>
      <c r="AT278" s="89" t="str">
        <f>HYPERLINK("https://www.youtube.com/channel/UCMOXOc7vSKdE63sq4XdqzLw")</f>
        <v>https://www.youtube.com/channel/UCMOXOc7vSKdE63sq4XdqzLw</v>
      </c>
      <c r="AU278" s="83" t="str">
        <f>REPLACE(INDEX(GroupVertices[Group],MATCH(Vertices[[#This Row],[Vertex]],GroupVertices[Vertex],0)),1,1,"")</f>
        <v>2</v>
      </c>
      <c r="AV278" s="45"/>
      <c r="AW278" s="46"/>
      <c r="AX278" s="45"/>
      <c r="AY278" s="46"/>
      <c r="AZ278" s="45"/>
      <c r="BA278" s="46"/>
      <c r="BB278" s="45"/>
      <c r="BC278" s="46"/>
      <c r="BD278" s="45"/>
      <c r="BE278" s="110" t="s">
        <v>1874</v>
      </c>
      <c r="BF278" s="110" t="s">
        <v>1874</v>
      </c>
      <c r="BG278" s="110" t="s">
        <v>1874</v>
      </c>
      <c r="BH278" s="110" t="s">
        <v>1874</v>
      </c>
      <c r="BI278" s="2"/>
    </row>
    <row r="279" spans="1:61" ht="15">
      <c r="A279" s="61" t="s">
        <v>482</v>
      </c>
      <c r="B279" s="62" t="s">
        <v>2893</v>
      </c>
      <c r="C279" s="62"/>
      <c r="D279" s="63">
        <v>100</v>
      </c>
      <c r="E279" s="65">
        <v>50</v>
      </c>
      <c r="F279" s="100" t="str">
        <f>HYPERLINK("https://yt3.ggpht.com/ytc/AGIKgqMH9SBv68UaGrofPwMrLCekF65R40w2Oto4ow=s88-c-k-c0x00ffffff-no-rj")</f>
        <v>https://yt3.ggpht.com/ytc/AGIKgqMH9SBv68UaGrofPwMrLCekF65R40w2Oto4ow=s88-c-k-c0x00ffffff-no-rj</v>
      </c>
      <c r="G279" s="62"/>
      <c r="H279" s="66" t="s">
        <v>1320</v>
      </c>
      <c r="I279" s="67"/>
      <c r="J279" s="67" t="s">
        <v>159</v>
      </c>
      <c r="K279" s="66" t="s">
        <v>1320</v>
      </c>
      <c r="L279" s="70"/>
      <c r="M279" s="71">
        <v>4418.88427734375</v>
      </c>
      <c r="N279" s="71">
        <v>8152.2744140625</v>
      </c>
      <c r="O279" s="72"/>
      <c r="P279" s="73"/>
      <c r="Q279" s="73"/>
      <c r="R279" s="94"/>
      <c r="S279" s="45">
        <v>0</v>
      </c>
      <c r="T279" s="45">
        <v>1</v>
      </c>
      <c r="U279" s="46">
        <v>0</v>
      </c>
      <c r="V279" s="46">
        <v>0.096339</v>
      </c>
      <c r="W279" s="46">
        <v>3E-06</v>
      </c>
      <c r="X279" s="46">
        <v>0.002054</v>
      </c>
      <c r="Y279" s="46">
        <v>0</v>
      </c>
      <c r="Z279" s="46">
        <v>0</v>
      </c>
      <c r="AA279" s="68">
        <v>279</v>
      </c>
      <c r="AB279" s="68"/>
      <c r="AC279" s="69"/>
      <c r="AD279" s="83" t="s">
        <v>1320</v>
      </c>
      <c r="AE279" s="83"/>
      <c r="AF279" s="83"/>
      <c r="AG279" s="83"/>
      <c r="AH279" s="83"/>
      <c r="AI279" s="83" t="s">
        <v>2357</v>
      </c>
      <c r="AJ279" s="92">
        <v>41579.85642361111</v>
      </c>
      <c r="AK279" s="89" t="str">
        <f>HYPERLINK("https://yt3.ggpht.com/ytc/AGIKgqMH9SBv68UaGrofPwMrLCekF65R40w2Oto4ow=s88-c-k-c0x00ffffff-no-rj")</f>
        <v>https://yt3.ggpht.com/ytc/AGIKgqMH9SBv68UaGrofPwMrLCekF65R40w2Oto4ow=s88-c-k-c0x00ffffff-no-rj</v>
      </c>
      <c r="AL279" s="83">
        <v>0</v>
      </c>
      <c r="AM279" s="83">
        <v>0</v>
      </c>
      <c r="AN279" s="83">
        <v>0</v>
      </c>
      <c r="AO279" s="83" t="b">
        <v>0</v>
      </c>
      <c r="AP279" s="83">
        <v>0</v>
      </c>
      <c r="AQ279" s="83"/>
      <c r="AR279" s="83"/>
      <c r="AS279" s="83" t="s">
        <v>2744</v>
      </c>
      <c r="AT279" s="89" t="str">
        <f>HYPERLINK("https://www.youtube.com/channel/UCpb0LbGwD0TBVydIHsKuUTQ")</f>
        <v>https://www.youtube.com/channel/UCpb0LbGwD0TBVydIHsKuUTQ</v>
      </c>
      <c r="AU279" s="83" t="str">
        <f>REPLACE(INDEX(GroupVertices[Group],MATCH(Vertices[[#This Row],[Vertex]],GroupVertices[Vertex],0)),1,1,"")</f>
        <v>2</v>
      </c>
      <c r="AV279" s="45"/>
      <c r="AW279" s="46"/>
      <c r="AX279" s="45"/>
      <c r="AY279" s="46"/>
      <c r="AZ279" s="45"/>
      <c r="BA279" s="46"/>
      <c r="BB279" s="45"/>
      <c r="BC279" s="46"/>
      <c r="BD279" s="45"/>
      <c r="BE279" s="110" t="s">
        <v>1874</v>
      </c>
      <c r="BF279" s="110" t="s">
        <v>1874</v>
      </c>
      <c r="BG279" s="110" t="s">
        <v>1874</v>
      </c>
      <c r="BH279" s="110" t="s">
        <v>1874</v>
      </c>
      <c r="BI279" s="2"/>
    </row>
    <row r="280" spans="1:61" ht="15">
      <c r="A280" s="61" t="s">
        <v>483</v>
      </c>
      <c r="B280" s="62" t="s">
        <v>2893</v>
      </c>
      <c r="C280" s="62"/>
      <c r="D280" s="63">
        <v>100</v>
      </c>
      <c r="E280" s="65">
        <v>50</v>
      </c>
      <c r="F280" s="100" t="str">
        <f>HYPERLINK("https://yt3.ggpht.com/ytc/AGIKgqOMMaLyX_bugdQNCXDAueuKMsxOgV7YfkWN57fFU20=s88-c-k-c0x00ffffff-no-rj")</f>
        <v>https://yt3.ggpht.com/ytc/AGIKgqOMMaLyX_bugdQNCXDAueuKMsxOgV7YfkWN57fFU20=s88-c-k-c0x00ffffff-no-rj</v>
      </c>
      <c r="G280" s="62"/>
      <c r="H280" s="66" t="s">
        <v>1321</v>
      </c>
      <c r="I280" s="67"/>
      <c r="J280" s="67" t="s">
        <v>159</v>
      </c>
      <c r="K280" s="66" t="s">
        <v>1321</v>
      </c>
      <c r="L280" s="70"/>
      <c r="M280" s="71">
        <v>4117.49609375</v>
      </c>
      <c r="N280" s="71">
        <v>8152.2744140625</v>
      </c>
      <c r="O280" s="72"/>
      <c r="P280" s="73"/>
      <c r="Q280" s="73"/>
      <c r="R280" s="94"/>
      <c r="S280" s="45">
        <v>0</v>
      </c>
      <c r="T280" s="45">
        <v>1</v>
      </c>
      <c r="U280" s="46">
        <v>0</v>
      </c>
      <c r="V280" s="46">
        <v>0.096339</v>
      </c>
      <c r="W280" s="46">
        <v>3E-06</v>
      </c>
      <c r="X280" s="46">
        <v>0.002054</v>
      </c>
      <c r="Y280" s="46">
        <v>0</v>
      </c>
      <c r="Z280" s="46">
        <v>0</v>
      </c>
      <c r="AA280" s="68">
        <v>280</v>
      </c>
      <c r="AB280" s="68"/>
      <c r="AC280" s="69"/>
      <c r="AD280" s="83" t="s">
        <v>1321</v>
      </c>
      <c r="AE280" s="83"/>
      <c r="AF280" s="83"/>
      <c r="AG280" s="83"/>
      <c r="AH280" s="83"/>
      <c r="AI280" s="83" t="s">
        <v>2358</v>
      </c>
      <c r="AJ280" s="83" t="s">
        <v>2667</v>
      </c>
      <c r="AK280" s="89" t="str">
        <f>HYPERLINK("https://yt3.ggpht.com/ytc/AGIKgqOMMaLyX_bugdQNCXDAueuKMsxOgV7YfkWN57fFU20=s88-c-k-c0x00ffffff-no-rj")</f>
        <v>https://yt3.ggpht.com/ytc/AGIKgqOMMaLyX_bugdQNCXDAueuKMsxOgV7YfkWN57fFU20=s88-c-k-c0x00ffffff-no-rj</v>
      </c>
      <c r="AL280" s="83">
        <v>267673</v>
      </c>
      <c r="AM280" s="83">
        <v>0</v>
      </c>
      <c r="AN280" s="83">
        <v>535</v>
      </c>
      <c r="AO280" s="83" t="b">
        <v>0</v>
      </c>
      <c r="AP280" s="83">
        <v>172</v>
      </c>
      <c r="AQ280" s="83"/>
      <c r="AR280" s="83"/>
      <c r="AS280" s="83" t="s">
        <v>2744</v>
      </c>
      <c r="AT280" s="89" t="str">
        <f>HYPERLINK("https://www.youtube.com/channel/UCdLb49pJnDcAXASPyWulgAA")</f>
        <v>https://www.youtube.com/channel/UCdLb49pJnDcAXASPyWulgAA</v>
      </c>
      <c r="AU280" s="83" t="str">
        <f>REPLACE(INDEX(GroupVertices[Group],MATCH(Vertices[[#This Row],[Vertex]],GroupVertices[Vertex],0)),1,1,"")</f>
        <v>2</v>
      </c>
      <c r="AV280" s="45"/>
      <c r="AW280" s="46"/>
      <c r="AX280" s="45"/>
      <c r="AY280" s="46"/>
      <c r="AZ280" s="45"/>
      <c r="BA280" s="46"/>
      <c r="BB280" s="45"/>
      <c r="BC280" s="46"/>
      <c r="BD280" s="45"/>
      <c r="BE280" s="110" t="s">
        <v>1874</v>
      </c>
      <c r="BF280" s="110" t="s">
        <v>1874</v>
      </c>
      <c r="BG280" s="110" t="s">
        <v>1874</v>
      </c>
      <c r="BH280" s="110" t="s">
        <v>1874</v>
      </c>
      <c r="BI280" s="2"/>
    </row>
    <row r="281" spans="1:61" ht="15">
      <c r="A281" s="61" t="s">
        <v>484</v>
      </c>
      <c r="B281" s="62" t="s">
        <v>2893</v>
      </c>
      <c r="C281" s="62"/>
      <c r="D281" s="63">
        <v>100</v>
      </c>
      <c r="E281" s="65">
        <v>50</v>
      </c>
      <c r="F281" s="100" t="str">
        <f>HYPERLINK("https://yt3.ggpht.com/ytc/AGIKgqM85GeAyLQSPTmZqCtyPpZ4Cj4ax0Odzz1FlijRBQZYAnVqWTSQdy7xFoR-EEdl=s88-c-k-c0x00ffffff-no-rj")</f>
        <v>https://yt3.ggpht.com/ytc/AGIKgqM85GeAyLQSPTmZqCtyPpZ4Cj4ax0Odzz1FlijRBQZYAnVqWTSQdy7xFoR-EEdl=s88-c-k-c0x00ffffff-no-rj</v>
      </c>
      <c r="G281" s="62"/>
      <c r="H281" s="66" t="s">
        <v>1322</v>
      </c>
      <c r="I281" s="67"/>
      <c r="J281" s="67" t="s">
        <v>159</v>
      </c>
      <c r="K281" s="66" t="s">
        <v>1322</v>
      </c>
      <c r="L281" s="70"/>
      <c r="M281" s="71">
        <v>3816.107666015625</v>
      </c>
      <c r="N281" s="71">
        <v>8152.2744140625</v>
      </c>
      <c r="O281" s="72"/>
      <c r="P281" s="73"/>
      <c r="Q281" s="73"/>
      <c r="R281" s="94"/>
      <c r="S281" s="45">
        <v>0</v>
      </c>
      <c r="T281" s="45">
        <v>1</v>
      </c>
      <c r="U281" s="46">
        <v>0</v>
      </c>
      <c r="V281" s="46">
        <v>0.096339</v>
      </c>
      <c r="W281" s="46">
        <v>3E-06</v>
      </c>
      <c r="X281" s="46">
        <v>0.002054</v>
      </c>
      <c r="Y281" s="46">
        <v>0</v>
      </c>
      <c r="Z281" s="46">
        <v>0</v>
      </c>
      <c r="AA281" s="68">
        <v>281</v>
      </c>
      <c r="AB281" s="68"/>
      <c r="AC281" s="69"/>
      <c r="AD281" s="83" t="s">
        <v>1322</v>
      </c>
      <c r="AE281" s="83"/>
      <c r="AF281" s="83"/>
      <c r="AG281" s="83"/>
      <c r="AH281" s="83"/>
      <c r="AI281" s="83" t="s">
        <v>2359</v>
      </c>
      <c r="AJ281" s="83" t="s">
        <v>2668</v>
      </c>
      <c r="AK281" s="89" t="str">
        <f>HYPERLINK("https://yt3.ggpht.com/ytc/AGIKgqM85GeAyLQSPTmZqCtyPpZ4Cj4ax0Odzz1FlijRBQZYAnVqWTSQdy7xFoR-EEdl=s88-c-k-c0x00ffffff-no-rj")</f>
        <v>https://yt3.ggpht.com/ytc/AGIKgqM85GeAyLQSPTmZqCtyPpZ4Cj4ax0Odzz1FlijRBQZYAnVqWTSQdy7xFoR-EEdl=s88-c-k-c0x00ffffff-no-rj</v>
      </c>
      <c r="AL281" s="83">
        <v>0</v>
      </c>
      <c r="AM281" s="83">
        <v>0</v>
      </c>
      <c r="AN281" s="83">
        <v>0</v>
      </c>
      <c r="AO281" s="83" t="b">
        <v>0</v>
      </c>
      <c r="AP281" s="83">
        <v>0</v>
      </c>
      <c r="AQ281" s="83"/>
      <c r="AR281" s="83"/>
      <c r="AS281" s="83" t="s">
        <v>2744</v>
      </c>
      <c r="AT281" s="89" t="str">
        <f>HYPERLINK("https://www.youtube.com/channel/UC-ZSkvqDMpBjUiR2yeLYRng")</f>
        <v>https://www.youtube.com/channel/UC-ZSkvqDMpBjUiR2yeLYRng</v>
      </c>
      <c r="AU281" s="83" t="str">
        <f>REPLACE(INDEX(GroupVertices[Group],MATCH(Vertices[[#This Row],[Vertex]],GroupVertices[Vertex],0)),1,1,"")</f>
        <v>2</v>
      </c>
      <c r="AV281" s="45"/>
      <c r="AW281" s="46"/>
      <c r="AX281" s="45"/>
      <c r="AY281" s="46"/>
      <c r="AZ281" s="45"/>
      <c r="BA281" s="46"/>
      <c r="BB281" s="45"/>
      <c r="BC281" s="46"/>
      <c r="BD281" s="45"/>
      <c r="BE281" s="110" t="s">
        <v>1874</v>
      </c>
      <c r="BF281" s="110" t="s">
        <v>1874</v>
      </c>
      <c r="BG281" s="110" t="s">
        <v>1874</v>
      </c>
      <c r="BH281" s="110" t="s">
        <v>1874</v>
      </c>
      <c r="BI281" s="2"/>
    </row>
    <row r="282" spans="1:61" ht="15">
      <c r="A282" s="61" t="s">
        <v>485</v>
      </c>
      <c r="B282" s="62" t="s">
        <v>2893</v>
      </c>
      <c r="C282" s="62"/>
      <c r="D282" s="63">
        <v>100</v>
      </c>
      <c r="E282" s="65">
        <v>50</v>
      </c>
      <c r="F282" s="100" t="str">
        <f>HYPERLINK("https://yt3.ggpht.com/SrG2MHGiIF688L3LZh_8K6VthFiJX_kdHgVKPvi-Vbv0rWadaIqYpbcJP8AF7jC9FsLx7VH-qA=s88-c-k-c0x00ffffff-no-rj")</f>
        <v>https://yt3.ggpht.com/SrG2MHGiIF688L3LZh_8K6VthFiJX_kdHgVKPvi-Vbv0rWadaIqYpbcJP8AF7jC9FsLx7VH-qA=s88-c-k-c0x00ffffff-no-rj</v>
      </c>
      <c r="G282" s="62"/>
      <c r="H282" s="66" t="s">
        <v>1323</v>
      </c>
      <c r="I282" s="67"/>
      <c r="J282" s="67" t="s">
        <v>159</v>
      </c>
      <c r="K282" s="66" t="s">
        <v>1323</v>
      </c>
      <c r="L282" s="70"/>
      <c r="M282" s="71">
        <v>3514.719482421875</v>
      </c>
      <c r="N282" s="71">
        <v>8152.2744140625</v>
      </c>
      <c r="O282" s="72"/>
      <c r="P282" s="73"/>
      <c r="Q282" s="73"/>
      <c r="R282" s="94"/>
      <c r="S282" s="45">
        <v>0</v>
      </c>
      <c r="T282" s="45">
        <v>1</v>
      </c>
      <c r="U282" s="46">
        <v>0</v>
      </c>
      <c r="V282" s="46">
        <v>0.096339</v>
      </c>
      <c r="W282" s="46">
        <v>3E-06</v>
      </c>
      <c r="X282" s="46">
        <v>0.002054</v>
      </c>
      <c r="Y282" s="46">
        <v>0</v>
      </c>
      <c r="Z282" s="46">
        <v>0</v>
      </c>
      <c r="AA282" s="68">
        <v>282</v>
      </c>
      <c r="AB282" s="68"/>
      <c r="AC282" s="69"/>
      <c r="AD282" s="83" t="s">
        <v>1323</v>
      </c>
      <c r="AE282" s="83"/>
      <c r="AF282" s="83"/>
      <c r="AG282" s="83"/>
      <c r="AH282" s="83"/>
      <c r="AI282" s="83" t="s">
        <v>2360</v>
      </c>
      <c r="AJ282" s="92">
        <v>38907.326689814814</v>
      </c>
      <c r="AK282" s="89" t="str">
        <f>HYPERLINK("https://yt3.ggpht.com/SrG2MHGiIF688L3LZh_8K6VthFiJX_kdHgVKPvi-Vbv0rWadaIqYpbcJP8AF7jC9FsLx7VH-qA=s88-c-k-c0x00ffffff-no-rj")</f>
        <v>https://yt3.ggpht.com/SrG2MHGiIF688L3LZh_8K6VthFiJX_kdHgVKPvi-Vbv0rWadaIqYpbcJP8AF7jC9FsLx7VH-qA=s88-c-k-c0x00ffffff-no-rj</v>
      </c>
      <c r="AL282" s="83">
        <v>0</v>
      </c>
      <c r="AM282" s="83">
        <v>0</v>
      </c>
      <c r="AN282" s="83">
        <v>4</v>
      </c>
      <c r="AO282" s="83" t="b">
        <v>0</v>
      </c>
      <c r="AP282" s="83">
        <v>0</v>
      </c>
      <c r="AQ282" s="83"/>
      <c r="AR282" s="83"/>
      <c r="AS282" s="83" t="s">
        <v>2744</v>
      </c>
      <c r="AT282" s="89" t="str">
        <f>HYPERLINK("https://www.youtube.com/channel/UCpGn4HyP0uFtP8y3WzP1QfA")</f>
        <v>https://www.youtube.com/channel/UCpGn4HyP0uFtP8y3WzP1QfA</v>
      </c>
      <c r="AU282" s="83" t="str">
        <f>REPLACE(INDEX(GroupVertices[Group],MATCH(Vertices[[#This Row],[Vertex]],GroupVertices[Vertex],0)),1,1,"")</f>
        <v>2</v>
      </c>
      <c r="AV282" s="45"/>
      <c r="AW282" s="46"/>
      <c r="AX282" s="45"/>
      <c r="AY282" s="46"/>
      <c r="AZ282" s="45"/>
      <c r="BA282" s="46"/>
      <c r="BB282" s="45"/>
      <c r="BC282" s="46"/>
      <c r="BD282" s="45"/>
      <c r="BE282" s="110" t="s">
        <v>1874</v>
      </c>
      <c r="BF282" s="110" t="s">
        <v>1874</v>
      </c>
      <c r="BG282" s="110" t="s">
        <v>1874</v>
      </c>
      <c r="BH282" s="110" t="s">
        <v>1874</v>
      </c>
      <c r="BI282" s="2"/>
    </row>
    <row r="283" spans="1:61" ht="15">
      <c r="A283" s="61" t="s">
        <v>486</v>
      </c>
      <c r="B283" s="62" t="s">
        <v>2893</v>
      </c>
      <c r="C283" s="62"/>
      <c r="D283" s="63">
        <v>100</v>
      </c>
      <c r="E283" s="65">
        <v>50</v>
      </c>
      <c r="F283" s="100" t="str">
        <f>HYPERLINK("https://yt3.ggpht.com/ytc/AGIKgqNaMF7AnYBtLRO1szHoHP074ANAQFyBhVYLp1NNFHSH0n9dMJci2oOYiJb6xHTz=s88-c-k-c0x00ffffff-no-rj")</f>
        <v>https://yt3.ggpht.com/ytc/AGIKgqNaMF7AnYBtLRO1szHoHP074ANAQFyBhVYLp1NNFHSH0n9dMJci2oOYiJb6xHTz=s88-c-k-c0x00ffffff-no-rj</v>
      </c>
      <c r="G283" s="62"/>
      <c r="H283" s="66" t="s">
        <v>1324</v>
      </c>
      <c r="I283" s="67"/>
      <c r="J283" s="67" t="s">
        <v>159</v>
      </c>
      <c r="K283" s="66" t="s">
        <v>1324</v>
      </c>
      <c r="L283" s="70"/>
      <c r="M283" s="71">
        <v>3213.3310546875</v>
      </c>
      <c r="N283" s="71">
        <v>8152.2744140625</v>
      </c>
      <c r="O283" s="72"/>
      <c r="P283" s="73"/>
      <c r="Q283" s="73"/>
      <c r="R283" s="94"/>
      <c r="S283" s="45">
        <v>0</v>
      </c>
      <c r="T283" s="45">
        <v>1</v>
      </c>
      <c r="U283" s="46">
        <v>0</v>
      </c>
      <c r="V283" s="46">
        <v>0.096339</v>
      </c>
      <c r="W283" s="46">
        <v>3E-06</v>
      </c>
      <c r="X283" s="46">
        <v>0.002054</v>
      </c>
      <c r="Y283" s="46">
        <v>0</v>
      </c>
      <c r="Z283" s="46">
        <v>0</v>
      </c>
      <c r="AA283" s="68">
        <v>283</v>
      </c>
      <c r="AB283" s="68"/>
      <c r="AC283" s="69"/>
      <c r="AD283" s="83" t="s">
        <v>1324</v>
      </c>
      <c r="AE283" s="83"/>
      <c r="AF283" s="83"/>
      <c r="AG283" s="83"/>
      <c r="AH283" s="83"/>
      <c r="AI283" s="83" t="s">
        <v>2361</v>
      </c>
      <c r="AJ283" s="83" t="s">
        <v>2669</v>
      </c>
      <c r="AK283" s="89" t="str">
        <f>HYPERLINK("https://yt3.ggpht.com/ytc/AGIKgqNaMF7AnYBtLRO1szHoHP074ANAQFyBhVYLp1NNFHSH0n9dMJci2oOYiJb6xHTz=s88-c-k-c0x00ffffff-no-rj")</f>
        <v>https://yt3.ggpht.com/ytc/AGIKgqNaMF7AnYBtLRO1szHoHP074ANAQFyBhVYLp1NNFHSH0n9dMJci2oOYiJb6xHTz=s88-c-k-c0x00ffffff-no-rj</v>
      </c>
      <c r="AL283" s="83">
        <v>0</v>
      </c>
      <c r="AM283" s="83">
        <v>0</v>
      </c>
      <c r="AN283" s="83">
        <v>0</v>
      </c>
      <c r="AO283" s="83" t="b">
        <v>0</v>
      </c>
      <c r="AP283" s="83">
        <v>0</v>
      </c>
      <c r="AQ283" s="83"/>
      <c r="AR283" s="83"/>
      <c r="AS283" s="83" t="s">
        <v>2744</v>
      </c>
      <c r="AT283" s="89" t="str">
        <f>HYPERLINK("https://www.youtube.com/channel/UCfiFT1zYwKhUL89CY013UkA")</f>
        <v>https://www.youtube.com/channel/UCfiFT1zYwKhUL89CY013UkA</v>
      </c>
      <c r="AU283" s="83" t="str">
        <f>REPLACE(INDEX(GroupVertices[Group],MATCH(Vertices[[#This Row],[Vertex]],GroupVertices[Vertex],0)),1,1,"")</f>
        <v>2</v>
      </c>
      <c r="AV283" s="45"/>
      <c r="AW283" s="46"/>
      <c r="AX283" s="45"/>
      <c r="AY283" s="46"/>
      <c r="AZ283" s="45"/>
      <c r="BA283" s="46"/>
      <c r="BB283" s="45"/>
      <c r="BC283" s="46"/>
      <c r="BD283" s="45"/>
      <c r="BE283" s="110" t="s">
        <v>1874</v>
      </c>
      <c r="BF283" s="110" t="s">
        <v>1874</v>
      </c>
      <c r="BG283" s="110" t="s">
        <v>1874</v>
      </c>
      <c r="BH283" s="110" t="s">
        <v>1874</v>
      </c>
      <c r="BI283" s="2"/>
    </row>
    <row r="284" spans="1:61" ht="15">
      <c r="A284" s="61" t="s">
        <v>487</v>
      </c>
      <c r="B284" s="62" t="s">
        <v>2893</v>
      </c>
      <c r="C284" s="62"/>
      <c r="D284" s="63">
        <v>100</v>
      </c>
      <c r="E284" s="65">
        <v>50</v>
      </c>
      <c r="F284" s="100" t="str">
        <f>HYPERLINK("https://yt3.ggpht.com/ytc/AGIKgqPRvJ2e49p5BxPP8FDix4mvlyYaz_IoGEapqA=s88-c-k-c0x00ffffff-no-rj")</f>
        <v>https://yt3.ggpht.com/ytc/AGIKgqPRvJ2e49p5BxPP8FDix4mvlyYaz_IoGEapqA=s88-c-k-c0x00ffffff-no-rj</v>
      </c>
      <c r="G284" s="62"/>
      <c r="H284" s="66" t="s">
        <v>1325</v>
      </c>
      <c r="I284" s="67"/>
      <c r="J284" s="67" t="s">
        <v>159</v>
      </c>
      <c r="K284" s="66" t="s">
        <v>1325</v>
      </c>
      <c r="L284" s="70"/>
      <c r="M284" s="71">
        <v>2911.94287109375</v>
      </c>
      <c r="N284" s="71">
        <v>8152.2744140625</v>
      </c>
      <c r="O284" s="72"/>
      <c r="P284" s="73"/>
      <c r="Q284" s="73"/>
      <c r="R284" s="94"/>
      <c r="S284" s="45">
        <v>0</v>
      </c>
      <c r="T284" s="45">
        <v>1</v>
      </c>
      <c r="U284" s="46">
        <v>0</v>
      </c>
      <c r="V284" s="46">
        <v>0.096339</v>
      </c>
      <c r="W284" s="46">
        <v>3E-06</v>
      </c>
      <c r="X284" s="46">
        <v>0.002054</v>
      </c>
      <c r="Y284" s="46">
        <v>0</v>
      </c>
      <c r="Z284" s="46">
        <v>0</v>
      </c>
      <c r="AA284" s="68">
        <v>284</v>
      </c>
      <c r="AB284" s="68"/>
      <c r="AC284" s="69"/>
      <c r="AD284" s="83" t="s">
        <v>1325</v>
      </c>
      <c r="AE284" s="83"/>
      <c r="AF284" s="83"/>
      <c r="AG284" s="83"/>
      <c r="AH284" s="83"/>
      <c r="AI284" s="83" t="s">
        <v>2362</v>
      </c>
      <c r="AJ284" s="92">
        <v>43528.47792824074</v>
      </c>
      <c r="AK284" s="89" t="str">
        <f>HYPERLINK("https://yt3.ggpht.com/ytc/AGIKgqPRvJ2e49p5BxPP8FDix4mvlyYaz_IoGEapqA=s88-c-k-c0x00ffffff-no-rj")</f>
        <v>https://yt3.ggpht.com/ytc/AGIKgqPRvJ2e49p5BxPP8FDix4mvlyYaz_IoGEapqA=s88-c-k-c0x00ffffff-no-rj</v>
      </c>
      <c r="AL284" s="83">
        <v>0</v>
      </c>
      <c r="AM284" s="83">
        <v>0</v>
      </c>
      <c r="AN284" s="83">
        <v>0</v>
      </c>
      <c r="AO284" s="83" t="b">
        <v>0</v>
      </c>
      <c r="AP284" s="83">
        <v>0</v>
      </c>
      <c r="AQ284" s="83"/>
      <c r="AR284" s="83"/>
      <c r="AS284" s="83" t="s">
        <v>2744</v>
      </c>
      <c r="AT284" s="89" t="str">
        <f>HYPERLINK("https://www.youtube.com/channel/UCcubfjo1KLwjfocmy8G9rww")</f>
        <v>https://www.youtube.com/channel/UCcubfjo1KLwjfocmy8G9rww</v>
      </c>
      <c r="AU284" s="83" t="str">
        <f>REPLACE(INDEX(GroupVertices[Group],MATCH(Vertices[[#This Row],[Vertex]],GroupVertices[Vertex],0)),1,1,"")</f>
        <v>2</v>
      </c>
      <c r="AV284" s="45"/>
      <c r="AW284" s="46"/>
      <c r="AX284" s="45"/>
      <c r="AY284" s="46"/>
      <c r="AZ284" s="45"/>
      <c r="BA284" s="46"/>
      <c r="BB284" s="45"/>
      <c r="BC284" s="46"/>
      <c r="BD284" s="45"/>
      <c r="BE284" s="110" t="s">
        <v>1874</v>
      </c>
      <c r="BF284" s="110" t="s">
        <v>1874</v>
      </c>
      <c r="BG284" s="110" t="s">
        <v>1874</v>
      </c>
      <c r="BH284" s="110" t="s">
        <v>1874</v>
      </c>
      <c r="BI284" s="2"/>
    </row>
    <row r="285" spans="1:61" ht="15">
      <c r="A285" s="61" t="s">
        <v>488</v>
      </c>
      <c r="B285" s="62" t="s">
        <v>2893</v>
      </c>
      <c r="C285" s="62"/>
      <c r="D285" s="63">
        <v>100</v>
      </c>
      <c r="E285" s="65">
        <v>50</v>
      </c>
      <c r="F285" s="100" t="str">
        <f>HYPERLINK("https://yt3.ggpht.com/QXT4FYzEg_XB_Z1g0tjoial8DhWDX9-HVJi3bvK7wzF1Ios2vtbj_q5JU1SbnByQUk1D5Lq1=s88-c-k-c0x00ffffff-no-rj")</f>
        <v>https://yt3.ggpht.com/QXT4FYzEg_XB_Z1g0tjoial8DhWDX9-HVJi3bvK7wzF1Ios2vtbj_q5JU1SbnByQUk1D5Lq1=s88-c-k-c0x00ffffff-no-rj</v>
      </c>
      <c r="G285" s="62"/>
      <c r="H285" s="66" t="s">
        <v>1326</v>
      </c>
      <c r="I285" s="67"/>
      <c r="J285" s="67" t="s">
        <v>159</v>
      </c>
      <c r="K285" s="66" t="s">
        <v>1326</v>
      </c>
      <c r="L285" s="70"/>
      <c r="M285" s="71">
        <v>2610.554443359375</v>
      </c>
      <c r="N285" s="71">
        <v>8152.2744140625</v>
      </c>
      <c r="O285" s="72"/>
      <c r="P285" s="73"/>
      <c r="Q285" s="73"/>
      <c r="R285" s="94"/>
      <c r="S285" s="45">
        <v>0</v>
      </c>
      <c r="T285" s="45">
        <v>1</v>
      </c>
      <c r="U285" s="46">
        <v>0</v>
      </c>
      <c r="V285" s="46">
        <v>0.096339</v>
      </c>
      <c r="W285" s="46">
        <v>3E-06</v>
      </c>
      <c r="X285" s="46">
        <v>0.002054</v>
      </c>
      <c r="Y285" s="46">
        <v>0</v>
      </c>
      <c r="Z285" s="46">
        <v>0</v>
      </c>
      <c r="AA285" s="68">
        <v>285</v>
      </c>
      <c r="AB285" s="68"/>
      <c r="AC285" s="69"/>
      <c r="AD285" s="83" t="s">
        <v>1326</v>
      </c>
      <c r="AE285" s="83" t="s">
        <v>2018</v>
      </c>
      <c r="AF285" s="83"/>
      <c r="AG285" s="83"/>
      <c r="AH285" s="83"/>
      <c r="AI285" s="83" t="s">
        <v>2363</v>
      </c>
      <c r="AJ285" s="92">
        <v>42313.599074074074</v>
      </c>
      <c r="AK285" s="89" t="str">
        <f>HYPERLINK("https://yt3.ggpht.com/QXT4FYzEg_XB_Z1g0tjoial8DhWDX9-HVJi3bvK7wzF1Ios2vtbj_q5JU1SbnByQUk1D5Lq1=s88-c-k-c0x00ffffff-no-rj")</f>
        <v>https://yt3.ggpht.com/QXT4FYzEg_XB_Z1g0tjoial8DhWDX9-HVJi3bvK7wzF1Ios2vtbj_q5JU1SbnByQUk1D5Lq1=s88-c-k-c0x00ffffff-no-rj</v>
      </c>
      <c r="AL285" s="83">
        <v>0</v>
      </c>
      <c r="AM285" s="83">
        <v>0</v>
      </c>
      <c r="AN285" s="83">
        <v>1</v>
      </c>
      <c r="AO285" s="83" t="b">
        <v>0</v>
      </c>
      <c r="AP285" s="83">
        <v>0</v>
      </c>
      <c r="AQ285" s="83"/>
      <c r="AR285" s="83"/>
      <c r="AS285" s="83" t="s">
        <v>2744</v>
      </c>
      <c r="AT285" s="89" t="str">
        <f>HYPERLINK("https://www.youtube.com/channel/UCXut-GK1daiLKc71QA7TBdA")</f>
        <v>https://www.youtube.com/channel/UCXut-GK1daiLKc71QA7TBdA</v>
      </c>
      <c r="AU285" s="83" t="str">
        <f>REPLACE(INDEX(GroupVertices[Group],MATCH(Vertices[[#This Row],[Vertex]],GroupVertices[Vertex],0)),1,1,"")</f>
        <v>2</v>
      </c>
      <c r="AV285" s="45"/>
      <c r="AW285" s="46"/>
      <c r="AX285" s="45"/>
      <c r="AY285" s="46"/>
      <c r="AZ285" s="45"/>
      <c r="BA285" s="46"/>
      <c r="BB285" s="45"/>
      <c r="BC285" s="46"/>
      <c r="BD285" s="45"/>
      <c r="BE285" s="110" t="s">
        <v>1874</v>
      </c>
      <c r="BF285" s="110" t="s">
        <v>1874</v>
      </c>
      <c r="BG285" s="110" t="s">
        <v>1874</v>
      </c>
      <c r="BH285" s="110" t="s">
        <v>1874</v>
      </c>
      <c r="BI285" s="2"/>
    </row>
    <row r="286" spans="1:61" ht="15">
      <c r="A286" s="61" t="s">
        <v>489</v>
      </c>
      <c r="B286" s="62" t="s">
        <v>2893</v>
      </c>
      <c r="C286" s="62"/>
      <c r="D286" s="63">
        <v>100</v>
      </c>
      <c r="E286" s="65">
        <v>50</v>
      </c>
      <c r="F286" s="100" t="str">
        <f>HYPERLINK("https://yt3.ggpht.com/ytc/AGIKgqNs1Ih9Kuc4XInjRNWA9ungrMHYzUpl3zdA6w=s88-c-k-c0x00ffffff-no-rj")</f>
        <v>https://yt3.ggpht.com/ytc/AGIKgqNs1Ih9Kuc4XInjRNWA9ungrMHYzUpl3zdA6w=s88-c-k-c0x00ffffff-no-rj</v>
      </c>
      <c r="G286" s="62"/>
      <c r="H286" s="66" t="s">
        <v>1327</v>
      </c>
      <c r="I286" s="67"/>
      <c r="J286" s="67" t="s">
        <v>159</v>
      </c>
      <c r="K286" s="66" t="s">
        <v>1327</v>
      </c>
      <c r="L286" s="70"/>
      <c r="M286" s="71">
        <v>5021.6611328125</v>
      </c>
      <c r="N286" s="71">
        <v>8778.6162109375</v>
      </c>
      <c r="O286" s="72"/>
      <c r="P286" s="73"/>
      <c r="Q286" s="73"/>
      <c r="R286" s="94"/>
      <c r="S286" s="45">
        <v>0</v>
      </c>
      <c r="T286" s="45">
        <v>1</v>
      </c>
      <c r="U286" s="46">
        <v>0</v>
      </c>
      <c r="V286" s="46">
        <v>0.096339</v>
      </c>
      <c r="W286" s="46">
        <v>3E-06</v>
      </c>
      <c r="X286" s="46">
        <v>0.002054</v>
      </c>
      <c r="Y286" s="46">
        <v>0</v>
      </c>
      <c r="Z286" s="46">
        <v>0</v>
      </c>
      <c r="AA286" s="68">
        <v>286</v>
      </c>
      <c r="AB286" s="68"/>
      <c r="AC286" s="69"/>
      <c r="AD286" s="83" t="s">
        <v>1327</v>
      </c>
      <c r="AE286" s="83"/>
      <c r="AF286" s="83"/>
      <c r="AG286" s="83"/>
      <c r="AH286" s="83"/>
      <c r="AI286" s="83" t="s">
        <v>2364</v>
      </c>
      <c r="AJ286" s="92">
        <v>41216.77523148148</v>
      </c>
      <c r="AK286" s="89" t="str">
        <f>HYPERLINK("https://yt3.ggpht.com/ytc/AGIKgqNs1Ih9Kuc4XInjRNWA9ungrMHYzUpl3zdA6w=s88-c-k-c0x00ffffff-no-rj")</f>
        <v>https://yt3.ggpht.com/ytc/AGIKgqNs1Ih9Kuc4XInjRNWA9ungrMHYzUpl3zdA6w=s88-c-k-c0x00ffffff-no-rj</v>
      </c>
      <c r="AL286" s="83">
        <v>0</v>
      </c>
      <c r="AM286" s="83">
        <v>0</v>
      </c>
      <c r="AN286" s="83">
        <v>0</v>
      </c>
      <c r="AO286" s="83" t="b">
        <v>0</v>
      </c>
      <c r="AP286" s="83">
        <v>0</v>
      </c>
      <c r="AQ286" s="83"/>
      <c r="AR286" s="83"/>
      <c r="AS286" s="83" t="s">
        <v>2744</v>
      </c>
      <c r="AT286" s="89" t="str">
        <f>HYPERLINK("https://www.youtube.com/channel/UCfRG_33MjoFgZ9KVYHQxfiQ")</f>
        <v>https://www.youtube.com/channel/UCfRG_33MjoFgZ9KVYHQxfiQ</v>
      </c>
      <c r="AU286" s="83" t="str">
        <f>REPLACE(INDEX(GroupVertices[Group],MATCH(Vertices[[#This Row],[Vertex]],GroupVertices[Vertex],0)),1,1,"")</f>
        <v>2</v>
      </c>
      <c r="AV286" s="45"/>
      <c r="AW286" s="46"/>
      <c r="AX286" s="45"/>
      <c r="AY286" s="46"/>
      <c r="AZ286" s="45"/>
      <c r="BA286" s="46"/>
      <c r="BB286" s="45"/>
      <c r="BC286" s="46"/>
      <c r="BD286" s="45"/>
      <c r="BE286" s="110" t="s">
        <v>1874</v>
      </c>
      <c r="BF286" s="110" t="s">
        <v>1874</v>
      </c>
      <c r="BG286" s="110" t="s">
        <v>1874</v>
      </c>
      <c r="BH286" s="110" t="s">
        <v>1874</v>
      </c>
      <c r="BI286" s="2"/>
    </row>
    <row r="287" spans="1:61" ht="15">
      <c r="A287" s="61" t="s">
        <v>490</v>
      </c>
      <c r="B287" s="62" t="s">
        <v>2893</v>
      </c>
      <c r="C287" s="62"/>
      <c r="D287" s="63">
        <v>100</v>
      </c>
      <c r="E287" s="65">
        <v>50</v>
      </c>
      <c r="F287" s="100" t="str">
        <f>HYPERLINK("https://yt3.ggpht.com/ytc/AGIKgqMQrOxBzYWzS_0KICklyoU2hkdQNkC_JY5NoWpQkEpaKcJmLBF43N446WF1XMFD=s88-c-k-c0x00ffffff-no-rj")</f>
        <v>https://yt3.ggpht.com/ytc/AGIKgqMQrOxBzYWzS_0KICklyoU2hkdQNkC_JY5NoWpQkEpaKcJmLBF43N446WF1XMFD=s88-c-k-c0x00ffffff-no-rj</v>
      </c>
      <c r="G287" s="62"/>
      <c r="H287" s="66" t="s">
        <v>1328</v>
      </c>
      <c r="I287" s="67"/>
      <c r="J287" s="67" t="s">
        <v>159</v>
      </c>
      <c r="K287" s="66" t="s">
        <v>1328</v>
      </c>
      <c r="L287" s="70"/>
      <c r="M287" s="71">
        <v>4720.2724609375</v>
      </c>
      <c r="N287" s="71">
        <v>8778.6162109375</v>
      </c>
      <c r="O287" s="72"/>
      <c r="P287" s="73"/>
      <c r="Q287" s="73"/>
      <c r="R287" s="94"/>
      <c r="S287" s="45">
        <v>0</v>
      </c>
      <c r="T287" s="45">
        <v>1</v>
      </c>
      <c r="U287" s="46">
        <v>0</v>
      </c>
      <c r="V287" s="46">
        <v>0.096339</v>
      </c>
      <c r="W287" s="46">
        <v>3E-06</v>
      </c>
      <c r="X287" s="46">
        <v>0.002054</v>
      </c>
      <c r="Y287" s="46">
        <v>0</v>
      </c>
      <c r="Z287" s="46">
        <v>0</v>
      </c>
      <c r="AA287" s="68">
        <v>287</v>
      </c>
      <c r="AB287" s="68"/>
      <c r="AC287" s="69"/>
      <c r="AD287" s="83" t="s">
        <v>1328</v>
      </c>
      <c r="AE287" s="83"/>
      <c r="AF287" s="83"/>
      <c r="AG287" s="83"/>
      <c r="AH287" s="83"/>
      <c r="AI287" s="83" t="s">
        <v>2365</v>
      </c>
      <c r="AJ287" s="92">
        <v>44627.836875</v>
      </c>
      <c r="AK287" s="89" t="str">
        <f>HYPERLINK("https://yt3.ggpht.com/ytc/AGIKgqMQrOxBzYWzS_0KICklyoU2hkdQNkC_JY5NoWpQkEpaKcJmLBF43N446WF1XMFD=s88-c-k-c0x00ffffff-no-rj")</f>
        <v>https://yt3.ggpht.com/ytc/AGIKgqMQrOxBzYWzS_0KICklyoU2hkdQNkC_JY5NoWpQkEpaKcJmLBF43N446WF1XMFD=s88-c-k-c0x00ffffff-no-rj</v>
      </c>
      <c r="AL287" s="83">
        <v>0</v>
      </c>
      <c r="AM287" s="83">
        <v>0</v>
      </c>
      <c r="AN287" s="83">
        <v>0</v>
      </c>
      <c r="AO287" s="83" t="b">
        <v>0</v>
      </c>
      <c r="AP287" s="83">
        <v>0</v>
      </c>
      <c r="AQ287" s="83"/>
      <c r="AR287" s="83"/>
      <c r="AS287" s="83" t="s">
        <v>2744</v>
      </c>
      <c r="AT287" s="89" t="str">
        <f>HYPERLINK("https://www.youtube.com/channel/UC60ke-iKRhFPPAvQk2P5z4g")</f>
        <v>https://www.youtube.com/channel/UC60ke-iKRhFPPAvQk2P5z4g</v>
      </c>
      <c r="AU287" s="83" t="str">
        <f>REPLACE(INDEX(GroupVertices[Group],MATCH(Vertices[[#This Row],[Vertex]],GroupVertices[Vertex],0)),1,1,"")</f>
        <v>2</v>
      </c>
      <c r="AV287" s="45"/>
      <c r="AW287" s="46"/>
      <c r="AX287" s="45"/>
      <c r="AY287" s="46"/>
      <c r="AZ287" s="45"/>
      <c r="BA287" s="46"/>
      <c r="BB287" s="45"/>
      <c r="BC287" s="46"/>
      <c r="BD287" s="45"/>
      <c r="BE287" s="110" t="s">
        <v>1874</v>
      </c>
      <c r="BF287" s="110" t="s">
        <v>1874</v>
      </c>
      <c r="BG287" s="110" t="s">
        <v>1874</v>
      </c>
      <c r="BH287" s="110" t="s">
        <v>1874</v>
      </c>
      <c r="BI287" s="2"/>
    </row>
    <row r="288" spans="1:61" ht="15">
      <c r="A288" s="61" t="s">
        <v>491</v>
      </c>
      <c r="B288" s="62" t="s">
        <v>2893</v>
      </c>
      <c r="C288" s="62"/>
      <c r="D288" s="63">
        <v>100</v>
      </c>
      <c r="E288" s="65">
        <v>50</v>
      </c>
      <c r="F288" s="100" t="str">
        <f>HYPERLINK("https://yt3.ggpht.com/tjhYl-ellfIDYT73QSPC1xPNWNwBQcNAUMQUPE_iOIQjVj7f3T4rA3pqCWO1FNFnshbzREpmyw=s88-c-k-c0x00ffffff-no-rj")</f>
        <v>https://yt3.ggpht.com/tjhYl-ellfIDYT73QSPC1xPNWNwBQcNAUMQUPE_iOIQjVj7f3T4rA3pqCWO1FNFnshbzREpmyw=s88-c-k-c0x00ffffff-no-rj</v>
      </c>
      <c r="G288" s="62"/>
      <c r="H288" s="66" t="s">
        <v>1329</v>
      </c>
      <c r="I288" s="67"/>
      <c r="J288" s="67" t="s">
        <v>159</v>
      </c>
      <c r="K288" s="66" t="s">
        <v>1329</v>
      </c>
      <c r="L288" s="70"/>
      <c r="M288" s="71">
        <v>4418.88427734375</v>
      </c>
      <c r="N288" s="71">
        <v>8778.6162109375</v>
      </c>
      <c r="O288" s="72"/>
      <c r="P288" s="73"/>
      <c r="Q288" s="73"/>
      <c r="R288" s="94"/>
      <c r="S288" s="45">
        <v>0</v>
      </c>
      <c r="T288" s="45">
        <v>1</v>
      </c>
      <c r="U288" s="46">
        <v>0</v>
      </c>
      <c r="V288" s="46">
        <v>0.096339</v>
      </c>
      <c r="W288" s="46">
        <v>3E-06</v>
      </c>
      <c r="X288" s="46">
        <v>0.002054</v>
      </c>
      <c r="Y288" s="46">
        <v>0</v>
      </c>
      <c r="Z288" s="46">
        <v>0</v>
      </c>
      <c r="AA288" s="68">
        <v>288</v>
      </c>
      <c r="AB288" s="68"/>
      <c r="AC288" s="69"/>
      <c r="AD288" s="83" t="s">
        <v>1329</v>
      </c>
      <c r="AE288" s="83"/>
      <c r="AF288" s="83"/>
      <c r="AG288" s="83"/>
      <c r="AH288" s="83"/>
      <c r="AI288" s="83" t="s">
        <v>2366</v>
      </c>
      <c r="AJ288" s="83" t="s">
        <v>2670</v>
      </c>
      <c r="AK288" s="89" t="str">
        <f>HYPERLINK("https://yt3.ggpht.com/tjhYl-ellfIDYT73QSPC1xPNWNwBQcNAUMQUPE_iOIQjVj7f3T4rA3pqCWO1FNFnshbzREpmyw=s88-c-k-c0x00ffffff-no-rj")</f>
        <v>https://yt3.ggpht.com/tjhYl-ellfIDYT73QSPC1xPNWNwBQcNAUMQUPE_iOIQjVj7f3T4rA3pqCWO1FNFnshbzREpmyw=s88-c-k-c0x00ffffff-no-rj</v>
      </c>
      <c r="AL288" s="83">
        <v>32</v>
      </c>
      <c r="AM288" s="83">
        <v>0</v>
      </c>
      <c r="AN288" s="83">
        <v>4</v>
      </c>
      <c r="AO288" s="83" t="b">
        <v>0</v>
      </c>
      <c r="AP288" s="83">
        <v>1</v>
      </c>
      <c r="AQ288" s="83"/>
      <c r="AR288" s="83"/>
      <c r="AS288" s="83" t="s">
        <v>2744</v>
      </c>
      <c r="AT288" s="89" t="str">
        <f>HYPERLINK("https://www.youtube.com/channel/UCdbn3zzovJRU5ZaW2hApdaQ")</f>
        <v>https://www.youtube.com/channel/UCdbn3zzovJRU5ZaW2hApdaQ</v>
      </c>
      <c r="AU288" s="83" t="str">
        <f>REPLACE(INDEX(GroupVertices[Group],MATCH(Vertices[[#This Row],[Vertex]],GroupVertices[Vertex],0)),1,1,"")</f>
        <v>2</v>
      </c>
      <c r="AV288" s="45"/>
      <c r="AW288" s="46"/>
      <c r="AX288" s="45"/>
      <c r="AY288" s="46"/>
      <c r="AZ288" s="45"/>
      <c r="BA288" s="46"/>
      <c r="BB288" s="45"/>
      <c r="BC288" s="46"/>
      <c r="BD288" s="45"/>
      <c r="BE288" s="110" t="s">
        <v>1874</v>
      </c>
      <c r="BF288" s="110" t="s">
        <v>1874</v>
      </c>
      <c r="BG288" s="110" t="s">
        <v>1874</v>
      </c>
      <c r="BH288" s="110" t="s">
        <v>1874</v>
      </c>
      <c r="BI288" s="2"/>
    </row>
    <row r="289" spans="1:61" ht="15">
      <c r="A289" s="61" t="s">
        <v>492</v>
      </c>
      <c r="B289" s="62" t="s">
        <v>2893</v>
      </c>
      <c r="C289" s="62"/>
      <c r="D289" s="63">
        <v>100</v>
      </c>
      <c r="E289" s="65">
        <v>50</v>
      </c>
      <c r="F289" s="100" t="str">
        <f>HYPERLINK("https://yt3.ggpht.com/ytc/AGIKgqMorRiwK7OozliJCuy0Uv_KGNoYGkA4ftJ5scQuc7N10FGCEbKbBj81JYYQrYUk=s88-c-k-c0x00ffffff-no-rj")</f>
        <v>https://yt3.ggpht.com/ytc/AGIKgqMorRiwK7OozliJCuy0Uv_KGNoYGkA4ftJ5scQuc7N10FGCEbKbBj81JYYQrYUk=s88-c-k-c0x00ffffff-no-rj</v>
      </c>
      <c r="G289" s="62"/>
      <c r="H289" s="66" t="s">
        <v>1330</v>
      </c>
      <c r="I289" s="67"/>
      <c r="J289" s="67" t="s">
        <v>159</v>
      </c>
      <c r="K289" s="66" t="s">
        <v>1330</v>
      </c>
      <c r="L289" s="70"/>
      <c r="M289" s="71">
        <v>4117.49609375</v>
      </c>
      <c r="N289" s="71">
        <v>8778.6162109375</v>
      </c>
      <c r="O289" s="72"/>
      <c r="P289" s="73"/>
      <c r="Q289" s="73"/>
      <c r="R289" s="94"/>
      <c r="S289" s="45">
        <v>0</v>
      </c>
      <c r="T289" s="45">
        <v>1</v>
      </c>
      <c r="U289" s="46">
        <v>0</v>
      </c>
      <c r="V289" s="46">
        <v>0.096339</v>
      </c>
      <c r="W289" s="46">
        <v>3E-06</v>
      </c>
      <c r="X289" s="46">
        <v>0.002054</v>
      </c>
      <c r="Y289" s="46">
        <v>0</v>
      </c>
      <c r="Z289" s="46">
        <v>0</v>
      </c>
      <c r="AA289" s="68">
        <v>289</v>
      </c>
      <c r="AB289" s="68"/>
      <c r="AC289" s="69"/>
      <c r="AD289" s="83" t="s">
        <v>1330</v>
      </c>
      <c r="AE289" s="83"/>
      <c r="AF289" s="83"/>
      <c r="AG289" s="83"/>
      <c r="AH289" s="83"/>
      <c r="AI289" s="83" t="s">
        <v>2367</v>
      </c>
      <c r="AJ289" s="92">
        <v>44478.67238425926</v>
      </c>
      <c r="AK289" s="89" t="str">
        <f>HYPERLINK("https://yt3.ggpht.com/ytc/AGIKgqMorRiwK7OozliJCuy0Uv_KGNoYGkA4ftJ5scQuc7N10FGCEbKbBj81JYYQrYUk=s88-c-k-c0x00ffffff-no-rj")</f>
        <v>https://yt3.ggpht.com/ytc/AGIKgqMorRiwK7OozliJCuy0Uv_KGNoYGkA4ftJ5scQuc7N10FGCEbKbBj81JYYQrYUk=s88-c-k-c0x00ffffff-no-rj</v>
      </c>
      <c r="AL289" s="83">
        <v>0</v>
      </c>
      <c r="AM289" s="83">
        <v>0</v>
      </c>
      <c r="AN289" s="83">
        <v>0</v>
      </c>
      <c r="AO289" s="83" t="b">
        <v>0</v>
      </c>
      <c r="AP289" s="83">
        <v>0</v>
      </c>
      <c r="AQ289" s="83"/>
      <c r="AR289" s="83"/>
      <c r="AS289" s="83" t="s">
        <v>2744</v>
      </c>
      <c r="AT289" s="89" t="str">
        <f>HYPERLINK("https://www.youtube.com/channel/UCaUWZSW08BcoSBXr6J7ix5g")</f>
        <v>https://www.youtube.com/channel/UCaUWZSW08BcoSBXr6J7ix5g</v>
      </c>
      <c r="AU289" s="83" t="str">
        <f>REPLACE(INDEX(GroupVertices[Group],MATCH(Vertices[[#This Row],[Vertex]],GroupVertices[Vertex],0)),1,1,"")</f>
        <v>2</v>
      </c>
      <c r="AV289" s="45"/>
      <c r="AW289" s="46"/>
      <c r="AX289" s="45"/>
      <c r="AY289" s="46"/>
      <c r="AZ289" s="45"/>
      <c r="BA289" s="46"/>
      <c r="BB289" s="45"/>
      <c r="BC289" s="46"/>
      <c r="BD289" s="45"/>
      <c r="BE289" s="110" t="s">
        <v>1874</v>
      </c>
      <c r="BF289" s="110" t="s">
        <v>1874</v>
      </c>
      <c r="BG289" s="110" t="s">
        <v>1874</v>
      </c>
      <c r="BH289" s="110" t="s">
        <v>1874</v>
      </c>
      <c r="BI289" s="2"/>
    </row>
    <row r="290" spans="1:61" ht="15">
      <c r="A290" s="61" t="s">
        <v>493</v>
      </c>
      <c r="B290" s="62" t="s">
        <v>2893</v>
      </c>
      <c r="C290" s="62"/>
      <c r="D290" s="63">
        <v>100</v>
      </c>
      <c r="E290" s="65">
        <v>50</v>
      </c>
      <c r="F290" s="100" t="str">
        <f>HYPERLINK("https://yt3.ggpht.com/ytc/AGIKgqOWUlJ_txPRvquHvBM_B8b0KgnLKRSzEGxUWg=s88-c-k-c0x00ffffff-no-rj")</f>
        <v>https://yt3.ggpht.com/ytc/AGIKgqOWUlJ_txPRvquHvBM_B8b0KgnLKRSzEGxUWg=s88-c-k-c0x00ffffff-no-rj</v>
      </c>
      <c r="G290" s="62"/>
      <c r="H290" s="66" t="s">
        <v>1331</v>
      </c>
      <c r="I290" s="67"/>
      <c r="J290" s="67" t="s">
        <v>159</v>
      </c>
      <c r="K290" s="66" t="s">
        <v>1331</v>
      </c>
      <c r="L290" s="70"/>
      <c r="M290" s="71">
        <v>3816.107666015625</v>
      </c>
      <c r="N290" s="71">
        <v>8778.6162109375</v>
      </c>
      <c r="O290" s="72"/>
      <c r="P290" s="73"/>
      <c r="Q290" s="73"/>
      <c r="R290" s="94"/>
      <c r="S290" s="45">
        <v>0</v>
      </c>
      <c r="T290" s="45">
        <v>1</v>
      </c>
      <c r="U290" s="46">
        <v>0</v>
      </c>
      <c r="V290" s="46">
        <v>0.096339</v>
      </c>
      <c r="W290" s="46">
        <v>3E-06</v>
      </c>
      <c r="X290" s="46">
        <v>0.002054</v>
      </c>
      <c r="Y290" s="46">
        <v>0</v>
      </c>
      <c r="Z290" s="46">
        <v>0</v>
      </c>
      <c r="AA290" s="68">
        <v>290</v>
      </c>
      <c r="AB290" s="68"/>
      <c r="AC290" s="69"/>
      <c r="AD290" s="83" t="s">
        <v>1331</v>
      </c>
      <c r="AE290" s="83"/>
      <c r="AF290" s="83"/>
      <c r="AG290" s="83"/>
      <c r="AH290" s="83"/>
      <c r="AI290" s="83" t="s">
        <v>2368</v>
      </c>
      <c r="AJ290" s="92">
        <v>41646.943460648145</v>
      </c>
      <c r="AK290" s="89" t="str">
        <f>HYPERLINK("https://yt3.ggpht.com/ytc/AGIKgqOWUlJ_txPRvquHvBM_B8b0KgnLKRSzEGxUWg=s88-c-k-c0x00ffffff-no-rj")</f>
        <v>https://yt3.ggpht.com/ytc/AGIKgqOWUlJ_txPRvquHvBM_B8b0KgnLKRSzEGxUWg=s88-c-k-c0x00ffffff-no-rj</v>
      </c>
      <c r="AL290" s="83">
        <v>0</v>
      </c>
      <c r="AM290" s="83">
        <v>0</v>
      </c>
      <c r="AN290" s="83">
        <v>0</v>
      </c>
      <c r="AO290" s="83" t="b">
        <v>0</v>
      </c>
      <c r="AP290" s="83">
        <v>0</v>
      </c>
      <c r="AQ290" s="83"/>
      <c r="AR290" s="83"/>
      <c r="AS290" s="83" t="s">
        <v>2744</v>
      </c>
      <c r="AT290" s="89" t="str">
        <f>HYPERLINK("https://www.youtube.com/channel/UCeLB1cmGI0OO7UJ4Q6IZylg")</f>
        <v>https://www.youtube.com/channel/UCeLB1cmGI0OO7UJ4Q6IZylg</v>
      </c>
      <c r="AU290" s="83" t="str">
        <f>REPLACE(INDEX(GroupVertices[Group],MATCH(Vertices[[#This Row],[Vertex]],GroupVertices[Vertex],0)),1,1,"")</f>
        <v>2</v>
      </c>
      <c r="AV290" s="45"/>
      <c r="AW290" s="46"/>
      <c r="AX290" s="45"/>
      <c r="AY290" s="46"/>
      <c r="AZ290" s="45"/>
      <c r="BA290" s="46"/>
      <c r="BB290" s="45"/>
      <c r="BC290" s="46"/>
      <c r="BD290" s="45"/>
      <c r="BE290" s="110" t="s">
        <v>1874</v>
      </c>
      <c r="BF290" s="110" t="s">
        <v>1874</v>
      </c>
      <c r="BG290" s="110" t="s">
        <v>1874</v>
      </c>
      <c r="BH290" s="110" t="s">
        <v>1874</v>
      </c>
      <c r="BI290" s="2"/>
    </row>
    <row r="291" spans="1:61" ht="15">
      <c r="A291" s="61" t="s">
        <v>494</v>
      </c>
      <c r="B291" s="62" t="s">
        <v>2893</v>
      </c>
      <c r="C291" s="62"/>
      <c r="D291" s="63">
        <v>100</v>
      </c>
      <c r="E291" s="65">
        <v>50</v>
      </c>
      <c r="F291" s="100" t="str">
        <f>HYPERLINK("https://yt3.ggpht.com/ytc/AGIKgqNcSN1BTdTFc2ybrGZN_9tMb5uz1t93TEuicw=s88-c-k-c0x00ffffff-no-rj")</f>
        <v>https://yt3.ggpht.com/ytc/AGIKgqNcSN1BTdTFc2ybrGZN_9tMb5uz1t93TEuicw=s88-c-k-c0x00ffffff-no-rj</v>
      </c>
      <c r="G291" s="62"/>
      <c r="H291" s="66" t="s">
        <v>1332</v>
      </c>
      <c r="I291" s="67"/>
      <c r="J291" s="67" t="s">
        <v>159</v>
      </c>
      <c r="K291" s="66" t="s">
        <v>1332</v>
      </c>
      <c r="L291" s="70"/>
      <c r="M291" s="71">
        <v>3514.719482421875</v>
      </c>
      <c r="N291" s="71">
        <v>8778.6162109375</v>
      </c>
      <c r="O291" s="72"/>
      <c r="P291" s="73"/>
      <c r="Q291" s="73"/>
      <c r="R291" s="94"/>
      <c r="S291" s="45">
        <v>0</v>
      </c>
      <c r="T291" s="45">
        <v>1</v>
      </c>
      <c r="U291" s="46">
        <v>0</v>
      </c>
      <c r="V291" s="46">
        <v>0.096339</v>
      </c>
      <c r="W291" s="46">
        <v>3E-06</v>
      </c>
      <c r="X291" s="46">
        <v>0.002054</v>
      </c>
      <c r="Y291" s="46">
        <v>0</v>
      </c>
      <c r="Z291" s="46">
        <v>0</v>
      </c>
      <c r="AA291" s="68">
        <v>291</v>
      </c>
      <c r="AB291" s="68"/>
      <c r="AC291" s="69"/>
      <c r="AD291" s="83" t="s">
        <v>1332</v>
      </c>
      <c r="AE291" s="83"/>
      <c r="AF291" s="83"/>
      <c r="AG291" s="83"/>
      <c r="AH291" s="83"/>
      <c r="AI291" s="83" t="s">
        <v>2369</v>
      </c>
      <c r="AJ291" s="92">
        <v>43842.63167824074</v>
      </c>
      <c r="AK291" s="89" t="str">
        <f>HYPERLINK("https://yt3.ggpht.com/ytc/AGIKgqNcSN1BTdTFc2ybrGZN_9tMb5uz1t93TEuicw=s88-c-k-c0x00ffffff-no-rj")</f>
        <v>https://yt3.ggpht.com/ytc/AGIKgqNcSN1BTdTFc2ybrGZN_9tMb5uz1t93TEuicw=s88-c-k-c0x00ffffff-no-rj</v>
      </c>
      <c r="AL291" s="83">
        <v>0</v>
      </c>
      <c r="AM291" s="83">
        <v>0</v>
      </c>
      <c r="AN291" s="83">
        <v>0</v>
      </c>
      <c r="AO291" s="83" t="b">
        <v>0</v>
      </c>
      <c r="AP291" s="83">
        <v>0</v>
      </c>
      <c r="AQ291" s="83"/>
      <c r="AR291" s="83"/>
      <c r="AS291" s="83" t="s">
        <v>2744</v>
      </c>
      <c r="AT291" s="89" t="str">
        <f>HYPERLINK("https://www.youtube.com/channel/UCO9BGOiWiLekp3u2ijKslrQ")</f>
        <v>https://www.youtube.com/channel/UCO9BGOiWiLekp3u2ijKslrQ</v>
      </c>
      <c r="AU291" s="83" t="str">
        <f>REPLACE(INDEX(GroupVertices[Group],MATCH(Vertices[[#This Row],[Vertex]],GroupVertices[Vertex],0)),1,1,"")</f>
        <v>2</v>
      </c>
      <c r="AV291" s="45"/>
      <c r="AW291" s="46"/>
      <c r="AX291" s="45"/>
      <c r="AY291" s="46"/>
      <c r="AZ291" s="45"/>
      <c r="BA291" s="46"/>
      <c r="BB291" s="45"/>
      <c r="BC291" s="46"/>
      <c r="BD291" s="45"/>
      <c r="BE291" s="110" t="s">
        <v>1874</v>
      </c>
      <c r="BF291" s="110" t="s">
        <v>1874</v>
      </c>
      <c r="BG291" s="110" t="s">
        <v>1874</v>
      </c>
      <c r="BH291" s="110" t="s">
        <v>1874</v>
      </c>
      <c r="BI291" s="2"/>
    </row>
    <row r="292" spans="1:61" ht="15">
      <c r="A292" s="61" t="s">
        <v>495</v>
      </c>
      <c r="B292" s="62" t="s">
        <v>2893</v>
      </c>
      <c r="C292" s="62"/>
      <c r="D292" s="63">
        <v>100</v>
      </c>
      <c r="E292" s="65">
        <v>50</v>
      </c>
      <c r="F292" s="100" t="str">
        <f>HYPERLINK("https://yt3.ggpht.com/ytc/AGIKgqMAtS3PIOt6ZuCRR-EJgkai15VrK6NnRnmzvnY7C4EOkA0kklW1C5laou6SGnRS=s88-c-k-c0x00ffffff-no-rj")</f>
        <v>https://yt3.ggpht.com/ytc/AGIKgqMAtS3PIOt6ZuCRR-EJgkai15VrK6NnRnmzvnY7C4EOkA0kklW1C5laou6SGnRS=s88-c-k-c0x00ffffff-no-rj</v>
      </c>
      <c r="G292" s="62"/>
      <c r="H292" s="66" t="s">
        <v>1333</v>
      </c>
      <c r="I292" s="67"/>
      <c r="J292" s="67" t="s">
        <v>159</v>
      </c>
      <c r="K292" s="66" t="s">
        <v>1333</v>
      </c>
      <c r="L292" s="70"/>
      <c r="M292" s="71">
        <v>3213.3310546875</v>
      </c>
      <c r="N292" s="71">
        <v>8778.6162109375</v>
      </c>
      <c r="O292" s="72"/>
      <c r="P292" s="73"/>
      <c r="Q292" s="73"/>
      <c r="R292" s="94"/>
      <c r="S292" s="45">
        <v>0</v>
      </c>
      <c r="T292" s="45">
        <v>1</v>
      </c>
      <c r="U292" s="46">
        <v>0</v>
      </c>
      <c r="V292" s="46">
        <v>0.096339</v>
      </c>
      <c r="W292" s="46">
        <v>3E-06</v>
      </c>
      <c r="X292" s="46">
        <v>0.002054</v>
      </c>
      <c r="Y292" s="46">
        <v>0</v>
      </c>
      <c r="Z292" s="46">
        <v>0</v>
      </c>
      <c r="AA292" s="68">
        <v>292</v>
      </c>
      <c r="AB292" s="68"/>
      <c r="AC292" s="69"/>
      <c r="AD292" s="83" t="s">
        <v>1333</v>
      </c>
      <c r="AE292" s="83"/>
      <c r="AF292" s="83"/>
      <c r="AG292" s="83"/>
      <c r="AH292" s="83"/>
      <c r="AI292" s="83" t="s">
        <v>2370</v>
      </c>
      <c r="AJ292" s="83" t="s">
        <v>2671</v>
      </c>
      <c r="AK292" s="89" t="str">
        <f>HYPERLINK("https://yt3.ggpht.com/ytc/AGIKgqMAtS3PIOt6ZuCRR-EJgkai15VrK6NnRnmzvnY7C4EOkA0kklW1C5laou6SGnRS=s88-c-k-c0x00ffffff-no-rj")</f>
        <v>https://yt3.ggpht.com/ytc/AGIKgqMAtS3PIOt6ZuCRR-EJgkai15VrK6NnRnmzvnY7C4EOkA0kklW1C5laou6SGnRS=s88-c-k-c0x00ffffff-no-rj</v>
      </c>
      <c r="AL292" s="83">
        <v>0</v>
      </c>
      <c r="AM292" s="83">
        <v>0</v>
      </c>
      <c r="AN292" s="83">
        <v>0</v>
      </c>
      <c r="AO292" s="83" t="b">
        <v>0</v>
      </c>
      <c r="AP292" s="83">
        <v>0</v>
      </c>
      <c r="AQ292" s="83"/>
      <c r="AR292" s="83"/>
      <c r="AS292" s="83" t="s">
        <v>2744</v>
      </c>
      <c r="AT292" s="89" t="str">
        <f>HYPERLINK("https://www.youtube.com/channel/UChS6zykVB8B8KhgelQJ1swg")</f>
        <v>https://www.youtube.com/channel/UChS6zykVB8B8KhgelQJ1swg</v>
      </c>
      <c r="AU292" s="83" t="str">
        <f>REPLACE(INDEX(GroupVertices[Group],MATCH(Vertices[[#This Row],[Vertex]],GroupVertices[Vertex],0)),1,1,"")</f>
        <v>2</v>
      </c>
      <c r="AV292" s="45"/>
      <c r="AW292" s="46"/>
      <c r="AX292" s="45"/>
      <c r="AY292" s="46"/>
      <c r="AZ292" s="45"/>
      <c r="BA292" s="46"/>
      <c r="BB292" s="45"/>
      <c r="BC292" s="46"/>
      <c r="BD292" s="45"/>
      <c r="BE292" s="110" t="s">
        <v>1874</v>
      </c>
      <c r="BF292" s="110" t="s">
        <v>1874</v>
      </c>
      <c r="BG292" s="110" t="s">
        <v>1874</v>
      </c>
      <c r="BH292" s="110" t="s">
        <v>1874</v>
      </c>
      <c r="BI292" s="2"/>
    </row>
    <row r="293" spans="1:61" ht="15">
      <c r="A293" s="61" t="s">
        <v>496</v>
      </c>
      <c r="B293" s="62" t="s">
        <v>2893</v>
      </c>
      <c r="C293" s="62"/>
      <c r="D293" s="63">
        <v>100</v>
      </c>
      <c r="E293" s="65">
        <v>50</v>
      </c>
      <c r="F293" s="100" t="str">
        <f>HYPERLINK("https://yt3.ggpht.com/ytc/AGIKgqPui0uJeygSfnvsQSPJsPYDuUzfwqVaHFw1_R3FTxkbrX28L6SYNRCKSJnyiayx=s88-c-k-c0x00ffffff-no-rj")</f>
        <v>https://yt3.ggpht.com/ytc/AGIKgqPui0uJeygSfnvsQSPJsPYDuUzfwqVaHFw1_R3FTxkbrX28L6SYNRCKSJnyiayx=s88-c-k-c0x00ffffff-no-rj</v>
      </c>
      <c r="G293" s="62"/>
      <c r="H293" s="66" t="s">
        <v>1334</v>
      </c>
      <c r="I293" s="67"/>
      <c r="J293" s="67" t="s">
        <v>159</v>
      </c>
      <c r="K293" s="66" t="s">
        <v>1334</v>
      </c>
      <c r="L293" s="70"/>
      <c r="M293" s="71">
        <v>2911.94287109375</v>
      </c>
      <c r="N293" s="71">
        <v>8778.6162109375</v>
      </c>
      <c r="O293" s="72"/>
      <c r="P293" s="73"/>
      <c r="Q293" s="73"/>
      <c r="R293" s="94"/>
      <c r="S293" s="45">
        <v>0</v>
      </c>
      <c r="T293" s="45">
        <v>1</v>
      </c>
      <c r="U293" s="46">
        <v>0</v>
      </c>
      <c r="V293" s="46">
        <v>0.096339</v>
      </c>
      <c r="W293" s="46">
        <v>3E-06</v>
      </c>
      <c r="X293" s="46">
        <v>0.002054</v>
      </c>
      <c r="Y293" s="46">
        <v>0</v>
      </c>
      <c r="Z293" s="46">
        <v>0</v>
      </c>
      <c r="AA293" s="68">
        <v>293</v>
      </c>
      <c r="AB293" s="68"/>
      <c r="AC293" s="69"/>
      <c r="AD293" s="83" t="s">
        <v>1334</v>
      </c>
      <c r="AE293" s="83"/>
      <c r="AF293" s="83"/>
      <c r="AG293" s="83"/>
      <c r="AH293" s="83"/>
      <c r="AI293" s="83" t="s">
        <v>2371</v>
      </c>
      <c r="AJ293" s="83" t="s">
        <v>2672</v>
      </c>
      <c r="AK293" s="89" t="str">
        <f>HYPERLINK("https://yt3.ggpht.com/ytc/AGIKgqPui0uJeygSfnvsQSPJsPYDuUzfwqVaHFw1_R3FTxkbrX28L6SYNRCKSJnyiayx=s88-c-k-c0x00ffffff-no-rj")</f>
        <v>https://yt3.ggpht.com/ytc/AGIKgqPui0uJeygSfnvsQSPJsPYDuUzfwqVaHFw1_R3FTxkbrX28L6SYNRCKSJnyiayx=s88-c-k-c0x00ffffff-no-rj</v>
      </c>
      <c r="AL293" s="83">
        <v>0</v>
      </c>
      <c r="AM293" s="83">
        <v>0</v>
      </c>
      <c r="AN293" s="83">
        <v>1</v>
      </c>
      <c r="AO293" s="83" t="b">
        <v>0</v>
      </c>
      <c r="AP293" s="83">
        <v>0</v>
      </c>
      <c r="AQ293" s="83"/>
      <c r="AR293" s="83"/>
      <c r="AS293" s="83" t="s">
        <v>2744</v>
      </c>
      <c r="AT293" s="89" t="str">
        <f>HYPERLINK("https://www.youtube.com/channel/UC4Kgn3RS0n8MkDsxr8kvMTg")</f>
        <v>https://www.youtube.com/channel/UC4Kgn3RS0n8MkDsxr8kvMTg</v>
      </c>
      <c r="AU293" s="83" t="str">
        <f>REPLACE(INDEX(GroupVertices[Group],MATCH(Vertices[[#This Row],[Vertex]],GroupVertices[Vertex],0)),1,1,"")</f>
        <v>2</v>
      </c>
      <c r="AV293" s="45"/>
      <c r="AW293" s="46"/>
      <c r="AX293" s="45"/>
      <c r="AY293" s="46"/>
      <c r="AZ293" s="45"/>
      <c r="BA293" s="46"/>
      <c r="BB293" s="45"/>
      <c r="BC293" s="46"/>
      <c r="BD293" s="45"/>
      <c r="BE293" s="110" t="s">
        <v>1874</v>
      </c>
      <c r="BF293" s="110" t="s">
        <v>1874</v>
      </c>
      <c r="BG293" s="110" t="s">
        <v>1874</v>
      </c>
      <c r="BH293" s="110" t="s">
        <v>1874</v>
      </c>
      <c r="BI293" s="2"/>
    </row>
    <row r="294" spans="1:61" ht="15">
      <c r="A294" s="61" t="s">
        <v>497</v>
      </c>
      <c r="B294" s="62" t="s">
        <v>2893</v>
      </c>
      <c r="C294" s="62"/>
      <c r="D294" s="63">
        <v>100</v>
      </c>
      <c r="E294" s="65">
        <v>50</v>
      </c>
      <c r="F294" s="100" t="str">
        <f>HYPERLINK("https://yt3.ggpht.com/ytc/AGIKgqMysyxNyg9tocGs5HhAlHJ0NZZHePXr-NtPRnKMiQ=s88-c-k-c0x00ffffff-no-rj")</f>
        <v>https://yt3.ggpht.com/ytc/AGIKgqMysyxNyg9tocGs5HhAlHJ0NZZHePXr-NtPRnKMiQ=s88-c-k-c0x00ffffff-no-rj</v>
      </c>
      <c r="G294" s="62"/>
      <c r="H294" s="66" t="s">
        <v>1335</v>
      </c>
      <c r="I294" s="67"/>
      <c r="J294" s="67" t="s">
        <v>159</v>
      </c>
      <c r="K294" s="66" t="s">
        <v>1335</v>
      </c>
      <c r="L294" s="70"/>
      <c r="M294" s="71">
        <v>2610.554443359375</v>
      </c>
      <c r="N294" s="71">
        <v>8778.6162109375</v>
      </c>
      <c r="O294" s="72"/>
      <c r="P294" s="73"/>
      <c r="Q294" s="73"/>
      <c r="R294" s="94"/>
      <c r="S294" s="45">
        <v>0</v>
      </c>
      <c r="T294" s="45">
        <v>1</v>
      </c>
      <c r="U294" s="46">
        <v>0</v>
      </c>
      <c r="V294" s="46">
        <v>0.096339</v>
      </c>
      <c r="W294" s="46">
        <v>3E-06</v>
      </c>
      <c r="X294" s="46">
        <v>0.002054</v>
      </c>
      <c r="Y294" s="46">
        <v>0</v>
      </c>
      <c r="Z294" s="46">
        <v>0</v>
      </c>
      <c r="AA294" s="68">
        <v>294</v>
      </c>
      <c r="AB294" s="68"/>
      <c r="AC294" s="69"/>
      <c r="AD294" s="83" t="s">
        <v>1335</v>
      </c>
      <c r="AE294" s="83"/>
      <c r="AF294" s="83"/>
      <c r="AG294" s="83"/>
      <c r="AH294" s="83"/>
      <c r="AI294" s="83" t="s">
        <v>2372</v>
      </c>
      <c r="AJ294" s="83" t="s">
        <v>2673</v>
      </c>
      <c r="AK294" s="89" t="str">
        <f>HYPERLINK("https://yt3.ggpht.com/ytc/AGIKgqMysyxNyg9tocGs5HhAlHJ0NZZHePXr-NtPRnKMiQ=s88-c-k-c0x00ffffff-no-rj")</f>
        <v>https://yt3.ggpht.com/ytc/AGIKgqMysyxNyg9tocGs5HhAlHJ0NZZHePXr-NtPRnKMiQ=s88-c-k-c0x00ffffff-no-rj</v>
      </c>
      <c r="AL294" s="83">
        <v>736</v>
      </c>
      <c r="AM294" s="83">
        <v>0</v>
      </c>
      <c r="AN294" s="83">
        <v>3</v>
      </c>
      <c r="AO294" s="83" t="b">
        <v>0</v>
      </c>
      <c r="AP294" s="83">
        <v>1</v>
      </c>
      <c r="AQ294" s="83"/>
      <c r="AR294" s="83"/>
      <c r="AS294" s="83" t="s">
        <v>2744</v>
      </c>
      <c r="AT294" s="89" t="str">
        <f>HYPERLINK("https://www.youtube.com/channel/UCGNWBR5q_j0DZJLlgFMO6iA")</f>
        <v>https://www.youtube.com/channel/UCGNWBR5q_j0DZJLlgFMO6iA</v>
      </c>
      <c r="AU294" s="83" t="str">
        <f>REPLACE(INDEX(GroupVertices[Group],MATCH(Vertices[[#This Row],[Vertex]],GroupVertices[Vertex],0)),1,1,"")</f>
        <v>2</v>
      </c>
      <c r="AV294" s="45"/>
      <c r="AW294" s="46"/>
      <c r="AX294" s="45"/>
      <c r="AY294" s="46"/>
      <c r="AZ294" s="45"/>
      <c r="BA294" s="46"/>
      <c r="BB294" s="45"/>
      <c r="BC294" s="46"/>
      <c r="BD294" s="45"/>
      <c r="BE294" s="110" t="s">
        <v>1874</v>
      </c>
      <c r="BF294" s="110" t="s">
        <v>1874</v>
      </c>
      <c r="BG294" s="110" t="s">
        <v>1874</v>
      </c>
      <c r="BH294" s="110" t="s">
        <v>1874</v>
      </c>
      <c r="BI294" s="2"/>
    </row>
    <row r="295" spans="1:61" ht="15">
      <c r="A295" s="61" t="s">
        <v>498</v>
      </c>
      <c r="B295" s="62" t="s">
        <v>2893</v>
      </c>
      <c r="C295" s="62"/>
      <c r="D295" s="63">
        <v>100</v>
      </c>
      <c r="E295" s="65">
        <v>50</v>
      </c>
      <c r="F295" s="100" t="str">
        <f>HYPERLINK("https://yt3.ggpht.com/r9UwUa3tu2vccujdFAkKQ7_NYgef354pX8De8few81PE5YrozCo1aJfHARTSDO3P1BbBf6C1=s88-c-k-c0x00ffffff-no-rj")</f>
        <v>https://yt3.ggpht.com/r9UwUa3tu2vccujdFAkKQ7_NYgef354pX8De8few81PE5YrozCo1aJfHARTSDO3P1BbBf6C1=s88-c-k-c0x00ffffff-no-rj</v>
      </c>
      <c r="G295" s="62"/>
      <c r="H295" s="66" t="s">
        <v>1336</v>
      </c>
      <c r="I295" s="67"/>
      <c r="J295" s="67" t="s">
        <v>159</v>
      </c>
      <c r="K295" s="66" t="s">
        <v>1336</v>
      </c>
      <c r="L295" s="70"/>
      <c r="M295" s="71">
        <v>5021.6611328125</v>
      </c>
      <c r="N295" s="71">
        <v>9404.958984375</v>
      </c>
      <c r="O295" s="72"/>
      <c r="P295" s="73"/>
      <c r="Q295" s="73"/>
      <c r="R295" s="94"/>
      <c r="S295" s="45">
        <v>0</v>
      </c>
      <c r="T295" s="45">
        <v>1</v>
      </c>
      <c r="U295" s="46">
        <v>0</v>
      </c>
      <c r="V295" s="46">
        <v>0.096339</v>
      </c>
      <c r="W295" s="46">
        <v>3E-06</v>
      </c>
      <c r="X295" s="46">
        <v>0.002054</v>
      </c>
      <c r="Y295" s="46">
        <v>0</v>
      </c>
      <c r="Z295" s="46">
        <v>0</v>
      </c>
      <c r="AA295" s="68">
        <v>295</v>
      </c>
      <c r="AB295" s="68"/>
      <c r="AC295" s="69"/>
      <c r="AD295" s="83" t="s">
        <v>1336</v>
      </c>
      <c r="AE295" s="83"/>
      <c r="AF295" s="83"/>
      <c r="AG295" s="83"/>
      <c r="AH295" s="83"/>
      <c r="AI295" s="83" t="s">
        <v>2373</v>
      </c>
      <c r="AJ295" s="83" t="s">
        <v>2674</v>
      </c>
      <c r="AK295" s="89" t="str">
        <f>HYPERLINK("https://yt3.ggpht.com/r9UwUa3tu2vccujdFAkKQ7_NYgef354pX8De8few81PE5YrozCo1aJfHARTSDO3P1BbBf6C1=s88-c-k-c0x00ffffff-no-rj")</f>
        <v>https://yt3.ggpht.com/r9UwUa3tu2vccujdFAkKQ7_NYgef354pX8De8few81PE5YrozCo1aJfHARTSDO3P1BbBf6C1=s88-c-k-c0x00ffffff-no-rj</v>
      </c>
      <c r="AL295" s="83">
        <v>0</v>
      </c>
      <c r="AM295" s="83">
        <v>0</v>
      </c>
      <c r="AN295" s="83">
        <v>1</v>
      </c>
      <c r="AO295" s="83" t="b">
        <v>0</v>
      </c>
      <c r="AP295" s="83">
        <v>0</v>
      </c>
      <c r="AQ295" s="83"/>
      <c r="AR295" s="83"/>
      <c r="AS295" s="83" t="s">
        <v>2744</v>
      </c>
      <c r="AT295" s="89" t="str">
        <f>HYPERLINK("https://www.youtube.com/channel/UCQBu5DORSj_C2YYftxfac-w")</f>
        <v>https://www.youtube.com/channel/UCQBu5DORSj_C2YYftxfac-w</v>
      </c>
      <c r="AU295" s="83" t="str">
        <f>REPLACE(INDEX(GroupVertices[Group],MATCH(Vertices[[#This Row],[Vertex]],GroupVertices[Vertex],0)),1,1,"")</f>
        <v>2</v>
      </c>
      <c r="AV295" s="45"/>
      <c r="AW295" s="46"/>
      <c r="AX295" s="45"/>
      <c r="AY295" s="46"/>
      <c r="AZ295" s="45"/>
      <c r="BA295" s="46"/>
      <c r="BB295" s="45"/>
      <c r="BC295" s="46"/>
      <c r="BD295" s="45"/>
      <c r="BE295" s="110" t="s">
        <v>1874</v>
      </c>
      <c r="BF295" s="110" t="s">
        <v>1874</v>
      </c>
      <c r="BG295" s="110" t="s">
        <v>1874</v>
      </c>
      <c r="BH295" s="110" t="s">
        <v>1874</v>
      </c>
      <c r="BI295" s="2"/>
    </row>
    <row r="296" spans="1:61" ht="15">
      <c r="A296" s="61" t="s">
        <v>499</v>
      </c>
      <c r="B296" s="62" t="s">
        <v>2893</v>
      </c>
      <c r="C296" s="62"/>
      <c r="D296" s="63">
        <v>100</v>
      </c>
      <c r="E296" s="65">
        <v>50</v>
      </c>
      <c r="F296" s="100" t="str">
        <f>HYPERLINK("https://yt3.ggpht.com/ytc/AGIKgqO9m-tVE_PG38HdiZVriE58n7Xf72lEyWHcJTE7q4UKp2p5lJqsDEKZdY9Wtl0C=s88-c-k-c0x00ffffff-no-rj")</f>
        <v>https://yt3.ggpht.com/ytc/AGIKgqO9m-tVE_PG38HdiZVriE58n7Xf72lEyWHcJTE7q4UKp2p5lJqsDEKZdY9Wtl0C=s88-c-k-c0x00ffffff-no-rj</v>
      </c>
      <c r="G296" s="62"/>
      <c r="H296" s="66" t="s">
        <v>1337</v>
      </c>
      <c r="I296" s="67"/>
      <c r="J296" s="67" t="s">
        <v>159</v>
      </c>
      <c r="K296" s="66" t="s">
        <v>1337</v>
      </c>
      <c r="L296" s="70"/>
      <c r="M296" s="71">
        <v>4720.2724609375</v>
      </c>
      <c r="N296" s="71">
        <v>9404.958984375</v>
      </c>
      <c r="O296" s="72"/>
      <c r="P296" s="73"/>
      <c r="Q296" s="73"/>
      <c r="R296" s="94"/>
      <c r="S296" s="45">
        <v>0</v>
      </c>
      <c r="T296" s="45">
        <v>1</v>
      </c>
      <c r="U296" s="46">
        <v>0</v>
      </c>
      <c r="V296" s="46">
        <v>0.096339</v>
      </c>
      <c r="W296" s="46">
        <v>3E-06</v>
      </c>
      <c r="X296" s="46">
        <v>0.002054</v>
      </c>
      <c r="Y296" s="46">
        <v>0</v>
      </c>
      <c r="Z296" s="46">
        <v>0</v>
      </c>
      <c r="AA296" s="68">
        <v>296</v>
      </c>
      <c r="AB296" s="68"/>
      <c r="AC296" s="69"/>
      <c r="AD296" s="83" t="s">
        <v>1337</v>
      </c>
      <c r="AE296" s="83" t="s">
        <v>2019</v>
      </c>
      <c r="AF296" s="83"/>
      <c r="AG296" s="83"/>
      <c r="AH296" s="83"/>
      <c r="AI296" s="83" t="s">
        <v>2374</v>
      </c>
      <c r="AJ296" s="92">
        <v>44143.67978009259</v>
      </c>
      <c r="AK296" s="89" t="str">
        <f>HYPERLINK("https://yt3.ggpht.com/ytc/AGIKgqO9m-tVE_PG38HdiZVriE58n7Xf72lEyWHcJTE7q4UKp2p5lJqsDEKZdY9Wtl0C=s88-c-k-c0x00ffffff-no-rj")</f>
        <v>https://yt3.ggpht.com/ytc/AGIKgqO9m-tVE_PG38HdiZVriE58n7Xf72lEyWHcJTE7q4UKp2p5lJqsDEKZdY9Wtl0C=s88-c-k-c0x00ffffff-no-rj</v>
      </c>
      <c r="AL296" s="83">
        <v>0</v>
      </c>
      <c r="AM296" s="83">
        <v>0</v>
      </c>
      <c r="AN296" s="83">
        <v>1</v>
      </c>
      <c r="AO296" s="83" t="b">
        <v>0</v>
      </c>
      <c r="AP296" s="83">
        <v>0</v>
      </c>
      <c r="AQ296" s="83"/>
      <c r="AR296" s="83"/>
      <c r="AS296" s="83" t="s">
        <v>2744</v>
      </c>
      <c r="AT296" s="89" t="str">
        <f>HYPERLINK("https://www.youtube.com/channel/UCcQA1m-Y0Hrh6ZSeKVfTCFA")</f>
        <v>https://www.youtube.com/channel/UCcQA1m-Y0Hrh6ZSeKVfTCFA</v>
      </c>
      <c r="AU296" s="83" t="str">
        <f>REPLACE(INDEX(GroupVertices[Group],MATCH(Vertices[[#This Row],[Vertex]],GroupVertices[Vertex],0)),1,1,"")</f>
        <v>2</v>
      </c>
      <c r="AV296" s="45"/>
      <c r="AW296" s="46"/>
      <c r="AX296" s="45"/>
      <c r="AY296" s="46"/>
      <c r="AZ296" s="45"/>
      <c r="BA296" s="46"/>
      <c r="BB296" s="45"/>
      <c r="BC296" s="46"/>
      <c r="BD296" s="45"/>
      <c r="BE296" s="110" t="s">
        <v>1874</v>
      </c>
      <c r="BF296" s="110" t="s">
        <v>1874</v>
      </c>
      <c r="BG296" s="110" t="s">
        <v>1874</v>
      </c>
      <c r="BH296" s="110" t="s">
        <v>1874</v>
      </c>
      <c r="BI296" s="2"/>
    </row>
    <row r="297" spans="1:61" ht="15">
      <c r="A297" s="61" t="s">
        <v>500</v>
      </c>
      <c r="B297" s="62" t="s">
        <v>2893</v>
      </c>
      <c r="C297" s="62"/>
      <c r="D297" s="63">
        <v>100</v>
      </c>
      <c r="E297" s="65">
        <v>50</v>
      </c>
      <c r="F297" s="100" t="str">
        <f>HYPERLINK("https://yt3.ggpht.com/UDp3Xb0YN3SyRBCo2XcKpWOPMSUa_S6jwFKRvLoP2n0eEZHIGY-BVSMqsVWJvQ8BTJXvLs9mjg=s88-c-k-c0x00ffffff-no-rj")</f>
        <v>https://yt3.ggpht.com/UDp3Xb0YN3SyRBCo2XcKpWOPMSUa_S6jwFKRvLoP2n0eEZHIGY-BVSMqsVWJvQ8BTJXvLs9mjg=s88-c-k-c0x00ffffff-no-rj</v>
      </c>
      <c r="G297" s="62"/>
      <c r="H297" s="66" t="s">
        <v>1338</v>
      </c>
      <c r="I297" s="67"/>
      <c r="J297" s="67" t="s">
        <v>159</v>
      </c>
      <c r="K297" s="66" t="s">
        <v>1338</v>
      </c>
      <c r="L297" s="70"/>
      <c r="M297" s="71">
        <v>4418.88427734375</v>
      </c>
      <c r="N297" s="71">
        <v>9404.958984375</v>
      </c>
      <c r="O297" s="72"/>
      <c r="P297" s="73"/>
      <c r="Q297" s="73"/>
      <c r="R297" s="94"/>
      <c r="S297" s="45">
        <v>0</v>
      </c>
      <c r="T297" s="45">
        <v>1</v>
      </c>
      <c r="U297" s="46">
        <v>0</v>
      </c>
      <c r="V297" s="46">
        <v>0.096339</v>
      </c>
      <c r="W297" s="46">
        <v>3E-06</v>
      </c>
      <c r="X297" s="46">
        <v>0.002054</v>
      </c>
      <c r="Y297" s="46">
        <v>0</v>
      </c>
      <c r="Z297" s="46">
        <v>0</v>
      </c>
      <c r="AA297" s="68">
        <v>297</v>
      </c>
      <c r="AB297" s="68"/>
      <c r="AC297" s="69"/>
      <c r="AD297" s="83" t="s">
        <v>1338</v>
      </c>
      <c r="AE297" s="83"/>
      <c r="AF297" s="83"/>
      <c r="AG297" s="83"/>
      <c r="AH297" s="83"/>
      <c r="AI297" s="83" t="s">
        <v>2375</v>
      </c>
      <c r="AJ297" s="83" t="s">
        <v>2675</v>
      </c>
      <c r="AK297" s="89" t="str">
        <f>HYPERLINK("https://yt3.ggpht.com/UDp3Xb0YN3SyRBCo2XcKpWOPMSUa_S6jwFKRvLoP2n0eEZHIGY-BVSMqsVWJvQ8BTJXvLs9mjg=s88-c-k-c0x00ffffff-no-rj")</f>
        <v>https://yt3.ggpht.com/UDp3Xb0YN3SyRBCo2XcKpWOPMSUa_S6jwFKRvLoP2n0eEZHIGY-BVSMqsVWJvQ8BTJXvLs9mjg=s88-c-k-c0x00ffffff-no-rj</v>
      </c>
      <c r="AL297" s="83">
        <v>354</v>
      </c>
      <c r="AM297" s="83">
        <v>0</v>
      </c>
      <c r="AN297" s="83">
        <v>9</v>
      </c>
      <c r="AO297" s="83" t="b">
        <v>0</v>
      </c>
      <c r="AP297" s="83">
        <v>6</v>
      </c>
      <c r="AQ297" s="83"/>
      <c r="AR297" s="83"/>
      <c r="AS297" s="83" t="s">
        <v>2744</v>
      </c>
      <c r="AT297" s="89" t="str">
        <f>HYPERLINK("https://www.youtube.com/channel/UCb1pGOUe90oXVPT4PuiSn9w")</f>
        <v>https://www.youtube.com/channel/UCb1pGOUe90oXVPT4PuiSn9w</v>
      </c>
      <c r="AU297" s="83" t="str">
        <f>REPLACE(INDEX(GroupVertices[Group],MATCH(Vertices[[#This Row],[Vertex]],GroupVertices[Vertex],0)),1,1,"")</f>
        <v>2</v>
      </c>
      <c r="AV297" s="45"/>
      <c r="AW297" s="46"/>
      <c r="AX297" s="45"/>
      <c r="AY297" s="46"/>
      <c r="AZ297" s="45"/>
      <c r="BA297" s="46"/>
      <c r="BB297" s="45"/>
      <c r="BC297" s="46"/>
      <c r="BD297" s="45"/>
      <c r="BE297" s="110" t="s">
        <v>1874</v>
      </c>
      <c r="BF297" s="110" t="s">
        <v>1874</v>
      </c>
      <c r="BG297" s="110" t="s">
        <v>1874</v>
      </c>
      <c r="BH297" s="110" t="s">
        <v>1874</v>
      </c>
      <c r="BI297" s="2"/>
    </row>
    <row r="298" spans="1:61" ht="15">
      <c r="A298" s="61" t="s">
        <v>501</v>
      </c>
      <c r="B298" s="62" t="s">
        <v>2893</v>
      </c>
      <c r="C298" s="62"/>
      <c r="D298" s="63">
        <v>100</v>
      </c>
      <c r="E298" s="65">
        <v>50</v>
      </c>
      <c r="F298" s="100" t="str">
        <f>HYPERLINK("https://yt3.ggpht.com/ytc/AGIKgqN6JR6gYgU1mNsRTmbZKuOyBSfB92r6CLG1bihAbA=s88-c-k-c0x00ffffff-no-rj")</f>
        <v>https://yt3.ggpht.com/ytc/AGIKgqN6JR6gYgU1mNsRTmbZKuOyBSfB92r6CLG1bihAbA=s88-c-k-c0x00ffffff-no-rj</v>
      </c>
      <c r="G298" s="62"/>
      <c r="H298" s="66" t="s">
        <v>1339</v>
      </c>
      <c r="I298" s="67"/>
      <c r="J298" s="67" t="s">
        <v>159</v>
      </c>
      <c r="K298" s="66" t="s">
        <v>1339</v>
      </c>
      <c r="L298" s="70"/>
      <c r="M298" s="71">
        <v>4117.49609375</v>
      </c>
      <c r="N298" s="71">
        <v>9404.958984375</v>
      </c>
      <c r="O298" s="72"/>
      <c r="P298" s="73"/>
      <c r="Q298" s="73"/>
      <c r="R298" s="94"/>
      <c r="S298" s="45">
        <v>0</v>
      </c>
      <c r="T298" s="45">
        <v>1</v>
      </c>
      <c r="U298" s="46">
        <v>0</v>
      </c>
      <c r="V298" s="46">
        <v>0.096339</v>
      </c>
      <c r="W298" s="46">
        <v>3E-06</v>
      </c>
      <c r="X298" s="46">
        <v>0.002054</v>
      </c>
      <c r="Y298" s="46">
        <v>0</v>
      </c>
      <c r="Z298" s="46">
        <v>0</v>
      </c>
      <c r="AA298" s="68">
        <v>298</v>
      </c>
      <c r="AB298" s="68"/>
      <c r="AC298" s="69"/>
      <c r="AD298" s="83" t="s">
        <v>1339</v>
      </c>
      <c r="AE298" s="83"/>
      <c r="AF298" s="83"/>
      <c r="AG298" s="83"/>
      <c r="AH298" s="83"/>
      <c r="AI298" s="83" t="s">
        <v>2376</v>
      </c>
      <c r="AJ298" s="92">
        <v>41285.92565972222</v>
      </c>
      <c r="AK298" s="89" t="str">
        <f>HYPERLINK("https://yt3.ggpht.com/ytc/AGIKgqN6JR6gYgU1mNsRTmbZKuOyBSfB92r6CLG1bihAbA=s88-c-k-c0x00ffffff-no-rj")</f>
        <v>https://yt3.ggpht.com/ytc/AGIKgqN6JR6gYgU1mNsRTmbZKuOyBSfB92r6CLG1bihAbA=s88-c-k-c0x00ffffff-no-rj</v>
      </c>
      <c r="AL298" s="83">
        <v>0</v>
      </c>
      <c r="AM298" s="83">
        <v>0</v>
      </c>
      <c r="AN298" s="83">
        <v>11</v>
      </c>
      <c r="AO298" s="83" t="b">
        <v>0</v>
      </c>
      <c r="AP298" s="83">
        <v>0</v>
      </c>
      <c r="AQ298" s="83"/>
      <c r="AR298" s="83"/>
      <c r="AS298" s="83" t="s">
        <v>2744</v>
      </c>
      <c r="AT298" s="89" t="str">
        <f>HYPERLINK("https://www.youtube.com/channel/UC0CccC4SX47d0rXuEQ59fTg")</f>
        <v>https://www.youtube.com/channel/UC0CccC4SX47d0rXuEQ59fTg</v>
      </c>
      <c r="AU298" s="83" t="str">
        <f>REPLACE(INDEX(GroupVertices[Group],MATCH(Vertices[[#This Row],[Vertex]],GroupVertices[Vertex],0)),1,1,"")</f>
        <v>2</v>
      </c>
      <c r="AV298" s="45"/>
      <c r="AW298" s="46"/>
      <c r="AX298" s="45"/>
      <c r="AY298" s="46"/>
      <c r="AZ298" s="45"/>
      <c r="BA298" s="46"/>
      <c r="BB298" s="45"/>
      <c r="BC298" s="46"/>
      <c r="BD298" s="45"/>
      <c r="BE298" s="110" t="s">
        <v>1874</v>
      </c>
      <c r="BF298" s="110" t="s">
        <v>1874</v>
      </c>
      <c r="BG298" s="110" t="s">
        <v>1874</v>
      </c>
      <c r="BH298" s="110" t="s">
        <v>1874</v>
      </c>
      <c r="BI298" s="2"/>
    </row>
    <row r="299" spans="1:61" ht="15">
      <c r="A299" s="61" t="s">
        <v>502</v>
      </c>
      <c r="B299" s="62" t="s">
        <v>2893</v>
      </c>
      <c r="C299" s="62"/>
      <c r="D299" s="63">
        <v>100</v>
      </c>
      <c r="E299" s="65">
        <v>50</v>
      </c>
      <c r="F299" s="100" t="str">
        <f>HYPERLINK("https://yt3.ggpht.com/ytc/AGIKgqOxmlkab83wGHhcogl4dtQWI_jKByueDkQdD-Uyaw=s88-c-k-c0x00ffffff-no-rj")</f>
        <v>https://yt3.ggpht.com/ytc/AGIKgqOxmlkab83wGHhcogl4dtQWI_jKByueDkQdD-Uyaw=s88-c-k-c0x00ffffff-no-rj</v>
      </c>
      <c r="G299" s="62"/>
      <c r="H299" s="66" t="s">
        <v>1340</v>
      </c>
      <c r="I299" s="67"/>
      <c r="J299" s="67" t="s">
        <v>159</v>
      </c>
      <c r="K299" s="66" t="s">
        <v>1340</v>
      </c>
      <c r="L299" s="70"/>
      <c r="M299" s="71">
        <v>3816.107666015625</v>
      </c>
      <c r="N299" s="71">
        <v>9404.958984375</v>
      </c>
      <c r="O299" s="72"/>
      <c r="P299" s="73"/>
      <c r="Q299" s="73"/>
      <c r="R299" s="94"/>
      <c r="S299" s="45">
        <v>0</v>
      </c>
      <c r="T299" s="45">
        <v>1</v>
      </c>
      <c r="U299" s="46">
        <v>0</v>
      </c>
      <c r="V299" s="46">
        <v>0.096339</v>
      </c>
      <c r="W299" s="46">
        <v>3E-06</v>
      </c>
      <c r="X299" s="46">
        <v>0.002054</v>
      </c>
      <c r="Y299" s="46">
        <v>0</v>
      </c>
      <c r="Z299" s="46">
        <v>0</v>
      </c>
      <c r="AA299" s="68">
        <v>299</v>
      </c>
      <c r="AB299" s="68"/>
      <c r="AC299" s="69"/>
      <c r="AD299" s="83" t="s">
        <v>1340</v>
      </c>
      <c r="AE299" s="83"/>
      <c r="AF299" s="83"/>
      <c r="AG299" s="83"/>
      <c r="AH299" s="83"/>
      <c r="AI299" s="83" t="s">
        <v>2377</v>
      </c>
      <c r="AJ299" s="83" t="s">
        <v>2676</v>
      </c>
      <c r="AK299" s="89" t="str">
        <f>HYPERLINK("https://yt3.ggpht.com/ytc/AGIKgqOxmlkab83wGHhcogl4dtQWI_jKByueDkQdD-Uyaw=s88-c-k-c0x00ffffff-no-rj")</f>
        <v>https://yt3.ggpht.com/ytc/AGIKgqOxmlkab83wGHhcogl4dtQWI_jKByueDkQdD-Uyaw=s88-c-k-c0x00ffffff-no-rj</v>
      </c>
      <c r="AL299" s="83">
        <v>0</v>
      </c>
      <c r="AM299" s="83">
        <v>0</v>
      </c>
      <c r="AN299" s="83">
        <v>3</v>
      </c>
      <c r="AO299" s="83" t="b">
        <v>0</v>
      </c>
      <c r="AP299" s="83">
        <v>0</v>
      </c>
      <c r="AQ299" s="83"/>
      <c r="AR299" s="83"/>
      <c r="AS299" s="83" t="s">
        <v>2744</v>
      </c>
      <c r="AT299" s="89" t="str">
        <f>HYPERLINK("https://www.youtube.com/channel/UCxwcBJiUsy8D4GRCvm2XvAw")</f>
        <v>https://www.youtube.com/channel/UCxwcBJiUsy8D4GRCvm2XvAw</v>
      </c>
      <c r="AU299" s="83" t="str">
        <f>REPLACE(INDEX(GroupVertices[Group],MATCH(Vertices[[#This Row],[Vertex]],GroupVertices[Vertex],0)),1,1,"")</f>
        <v>2</v>
      </c>
      <c r="AV299" s="45"/>
      <c r="AW299" s="46"/>
      <c r="AX299" s="45"/>
      <c r="AY299" s="46"/>
      <c r="AZ299" s="45"/>
      <c r="BA299" s="46"/>
      <c r="BB299" s="45"/>
      <c r="BC299" s="46"/>
      <c r="BD299" s="45"/>
      <c r="BE299" s="110" t="s">
        <v>1874</v>
      </c>
      <c r="BF299" s="110" t="s">
        <v>1874</v>
      </c>
      <c r="BG299" s="110" t="s">
        <v>1874</v>
      </c>
      <c r="BH299" s="110" t="s">
        <v>1874</v>
      </c>
      <c r="BI299" s="2"/>
    </row>
    <row r="300" spans="1:61" ht="15">
      <c r="A300" s="61" t="s">
        <v>503</v>
      </c>
      <c r="B300" s="62" t="s">
        <v>2893</v>
      </c>
      <c r="C300" s="62"/>
      <c r="D300" s="63">
        <v>100</v>
      </c>
      <c r="E300" s="65">
        <v>50</v>
      </c>
      <c r="F300" s="100" t="str">
        <f>HYPERLINK("https://yt3.ggpht.com/sFgCgthSAd12cEfJqY-yJ0RbKaBj1WliqumLy1EwMMsSO-sxGgKD9qqAfDEJDKAAvhCLHasi=s88-c-k-c0x00ffffff-no-rj")</f>
        <v>https://yt3.ggpht.com/sFgCgthSAd12cEfJqY-yJ0RbKaBj1WliqumLy1EwMMsSO-sxGgKD9qqAfDEJDKAAvhCLHasi=s88-c-k-c0x00ffffff-no-rj</v>
      </c>
      <c r="G300" s="62"/>
      <c r="H300" s="66" t="s">
        <v>1341</v>
      </c>
      <c r="I300" s="67"/>
      <c r="J300" s="67" t="s">
        <v>159</v>
      </c>
      <c r="K300" s="66" t="s">
        <v>1341</v>
      </c>
      <c r="L300" s="70"/>
      <c r="M300" s="71">
        <v>3514.719482421875</v>
      </c>
      <c r="N300" s="71">
        <v>9404.958984375</v>
      </c>
      <c r="O300" s="72"/>
      <c r="P300" s="73"/>
      <c r="Q300" s="73"/>
      <c r="R300" s="94"/>
      <c r="S300" s="45">
        <v>0</v>
      </c>
      <c r="T300" s="45">
        <v>1</v>
      </c>
      <c r="U300" s="46">
        <v>0</v>
      </c>
      <c r="V300" s="46">
        <v>0.096339</v>
      </c>
      <c r="W300" s="46">
        <v>3E-06</v>
      </c>
      <c r="X300" s="46">
        <v>0.002054</v>
      </c>
      <c r="Y300" s="46">
        <v>0</v>
      </c>
      <c r="Z300" s="46">
        <v>0</v>
      </c>
      <c r="AA300" s="68">
        <v>300</v>
      </c>
      <c r="AB300" s="68"/>
      <c r="AC300" s="69"/>
      <c r="AD300" s="83" t="s">
        <v>1341</v>
      </c>
      <c r="AE300" s="83" t="s">
        <v>2020</v>
      </c>
      <c r="AF300" s="83"/>
      <c r="AG300" s="83"/>
      <c r="AH300" s="83"/>
      <c r="AI300" s="83" t="s">
        <v>2378</v>
      </c>
      <c r="AJ300" s="92">
        <v>42186.02798611111</v>
      </c>
      <c r="AK300" s="89" t="str">
        <f>HYPERLINK("https://yt3.ggpht.com/sFgCgthSAd12cEfJqY-yJ0RbKaBj1WliqumLy1EwMMsSO-sxGgKD9qqAfDEJDKAAvhCLHasi=s88-c-k-c0x00ffffff-no-rj")</f>
        <v>https://yt3.ggpht.com/sFgCgthSAd12cEfJqY-yJ0RbKaBj1WliqumLy1EwMMsSO-sxGgKD9qqAfDEJDKAAvhCLHasi=s88-c-k-c0x00ffffff-no-rj</v>
      </c>
      <c r="AL300" s="83">
        <v>3035</v>
      </c>
      <c r="AM300" s="83">
        <v>0</v>
      </c>
      <c r="AN300" s="83">
        <v>29</v>
      </c>
      <c r="AO300" s="83" t="b">
        <v>0</v>
      </c>
      <c r="AP300" s="83">
        <v>80</v>
      </c>
      <c r="AQ300" s="83"/>
      <c r="AR300" s="83"/>
      <c r="AS300" s="83" t="s">
        <v>2744</v>
      </c>
      <c r="AT300" s="89" t="str">
        <f>HYPERLINK("https://www.youtube.com/channel/UCYudHr0cITvCHUCK-UA1Gkw")</f>
        <v>https://www.youtube.com/channel/UCYudHr0cITvCHUCK-UA1Gkw</v>
      </c>
      <c r="AU300" s="83" t="str">
        <f>REPLACE(INDEX(GroupVertices[Group],MATCH(Vertices[[#This Row],[Vertex]],GroupVertices[Vertex],0)),1,1,"")</f>
        <v>2</v>
      </c>
      <c r="AV300" s="45"/>
      <c r="AW300" s="46"/>
      <c r="AX300" s="45"/>
      <c r="AY300" s="46"/>
      <c r="AZ300" s="45"/>
      <c r="BA300" s="46"/>
      <c r="BB300" s="45"/>
      <c r="BC300" s="46"/>
      <c r="BD300" s="45"/>
      <c r="BE300" s="110" t="s">
        <v>1874</v>
      </c>
      <c r="BF300" s="110" t="s">
        <v>1874</v>
      </c>
      <c r="BG300" s="110" t="s">
        <v>1874</v>
      </c>
      <c r="BH300" s="110" t="s">
        <v>1874</v>
      </c>
      <c r="BI300" s="2"/>
    </row>
    <row r="301" spans="1:61" ht="15">
      <c r="A301" s="61" t="s">
        <v>504</v>
      </c>
      <c r="B301" s="62" t="s">
        <v>2893</v>
      </c>
      <c r="C301" s="62"/>
      <c r="D301" s="63">
        <v>100</v>
      </c>
      <c r="E301" s="65">
        <v>50</v>
      </c>
      <c r="F301" s="100" t="str">
        <f>HYPERLINK("https://yt3.ggpht.com/ytc/AGIKgqPXTeAzEomKL49KT23OMhe-ybMXqCO2dm3afg=s88-c-k-c0x00ffffff-no-rj")</f>
        <v>https://yt3.ggpht.com/ytc/AGIKgqPXTeAzEomKL49KT23OMhe-ybMXqCO2dm3afg=s88-c-k-c0x00ffffff-no-rj</v>
      </c>
      <c r="G301" s="62"/>
      <c r="H301" s="66" t="s">
        <v>1342</v>
      </c>
      <c r="I301" s="67"/>
      <c r="J301" s="67" t="s">
        <v>159</v>
      </c>
      <c r="K301" s="66" t="s">
        <v>1342</v>
      </c>
      <c r="L301" s="70"/>
      <c r="M301" s="71">
        <v>3213.3310546875</v>
      </c>
      <c r="N301" s="71">
        <v>9404.958984375</v>
      </c>
      <c r="O301" s="72"/>
      <c r="P301" s="73"/>
      <c r="Q301" s="73"/>
      <c r="R301" s="94"/>
      <c r="S301" s="45">
        <v>0</v>
      </c>
      <c r="T301" s="45">
        <v>1</v>
      </c>
      <c r="U301" s="46">
        <v>0</v>
      </c>
      <c r="V301" s="46">
        <v>0.096339</v>
      </c>
      <c r="W301" s="46">
        <v>3E-06</v>
      </c>
      <c r="X301" s="46">
        <v>0.002054</v>
      </c>
      <c r="Y301" s="46">
        <v>0</v>
      </c>
      <c r="Z301" s="46">
        <v>0</v>
      </c>
      <c r="AA301" s="68">
        <v>301</v>
      </c>
      <c r="AB301" s="68"/>
      <c r="AC301" s="69"/>
      <c r="AD301" s="83" t="s">
        <v>1342</v>
      </c>
      <c r="AE301" s="83"/>
      <c r="AF301" s="83"/>
      <c r="AG301" s="83"/>
      <c r="AH301" s="83"/>
      <c r="AI301" s="83" t="s">
        <v>2379</v>
      </c>
      <c r="AJ301" s="83" t="s">
        <v>2677</v>
      </c>
      <c r="AK301" s="89" t="str">
        <f>HYPERLINK("https://yt3.ggpht.com/ytc/AGIKgqPXTeAzEomKL49KT23OMhe-ybMXqCO2dm3afg=s88-c-k-c0x00ffffff-no-rj")</f>
        <v>https://yt3.ggpht.com/ytc/AGIKgqPXTeAzEomKL49KT23OMhe-ybMXqCO2dm3afg=s88-c-k-c0x00ffffff-no-rj</v>
      </c>
      <c r="AL301" s="83">
        <v>0</v>
      </c>
      <c r="AM301" s="83">
        <v>0</v>
      </c>
      <c r="AN301" s="83">
        <v>0</v>
      </c>
      <c r="AO301" s="83" t="b">
        <v>0</v>
      </c>
      <c r="AP301" s="83">
        <v>0</v>
      </c>
      <c r="AQ301" s="83"/>
      <c r="AR301" s="83"/>
      <c r="AS301" s="83" t="s">
        <v>2744</v>
      </c>
      <c r="AT301" s="89" t="str">
        <f>HYPERLINK("https://www.youtube.com/channel/UCtQEZ0WMF79pmHqqLz-W2_w")</f>
        <v>https://www.youtube.com/channel/UCtQEZ0WMF79pmHqqLz-W2_w</v>
      </c>
      <c r="AU301" s="83" t="str">
        <f>REPLACE(INDEX(GroupVertices[Group],MATCH(Vertices[[#This Row],[Vertex]],GroupVertices[Vertex],0)),1,1,"")</f>
        <v>2</v>
      </c>
      <c r="AV301" s="45"/>
      <c r="AW301" s="46"/>
      <c r="AX301" s="45"/>
      <c r="AY301" s="46"/>
      <c r="AZ301" s="45"/>
      <c r="BA301" s="46"/>
      <c r="BB301" s="45"/>
      <c r="BC301" s="46"/>
      <c r="BD301" s="45"/>
      <c r="BE301" s="110" t="s">
        <v>1874</v>
      </c>
      <c r="BF301" s="110" t="s">
        <v>1874</v>
      </c>
      <c r="BG301" s="110" t="s">
        <v>1874</v>
      </c>
      <c r="BH301" s="110" t="s">
        <v>1874</v>
      </c>
      <c r="BI301" s="2"/>
    </row>
    <row r="302" spans="1:61" ht="15">
      <c r="A302" s="61" t="s">
        <v>505</v>
      </c>
      <c r="B302" s="62" t="s">
        <v>2893</v>
      </c>
      <c r="C302" s="62"/>
      <c r="D302" s="63">
        <v>100</v>
      </c>
      <c r="E302" s="65">
        <v>50</v>
      </c>
      <c r="F302" s="100" t="str">
        <f>HYPERLINK("https://yt3.ggpht.com/aXleVHq-vDzX6z8ELE7Ai-j6VVRJ-IEQsjBJtqZfnhBB3Z3J5oagkUuby9TFLj3qXBPayoYT8aw=s88-c-k-c0x00ffffff-no-rj")</f>
        <v>https://yt3.ggpht.com/aXleVHq-vDzX6z8ELE7Ai-j6VVRJ-IEQsjBJtqZfnhBB3Z3J5oagkUuby9TFLj3qXBPayoYT8aw=s88-c-k-c0x00ffffff-no-rj</v>
      </c>
      <c r="G302" s="62"/>
      <c r="H302" s="66" t="s">
        <v>1343</v>
      </c>
      <c r="I302" s="67"/>
      <c r="J302" s="67" t="s">
        <v>159</v>
      </c>
      <c r="K302" s="66" t="s">
        <v>1343</v>
      </c>
      <c r="L302" s="70"/>
      <c r="M302" s="71">
        <v>2610.554443359375</v>
      </c>
      <c r="N302" s="71">
        <v>9404.958984375</v>
      </c>
      <c r="O302" s="72"/>
      <c r="P302" s="73"/>
      <c r="Q302" s="73"/>
      <c r="R302" s="94"/>
      <c r="S302" s="45">
        <v>0</v>
      </c>
      <c r="T302" s="45">
        <v>1</v>
      </c>
      <c r="U302" s="46">
        <v>0</v>
      </c>
      <c r="V302" s="46">
        <v>0.096339</v>
      </c>
      <c r="W302" s="46">
        <v>3E-06</v>
      </c>
      <c r="X302" s="46">
        <v>0.002054</v>
      </c>
      <c r="Y302" s="46">
        <v>0</v>
      </c>
      <c r="Z302" s="46">
        <v>0</v>
      </c>
      <c r="AA302" s="68">
        <v>302</v>
      </c>
      <c r="AB302" s="68"/>
      <c r="AC302" s="69"/>
      <c r="AD302" s="83" t="s">
        <v>1343</v>
      </c>
      <c r="AE302" s="83" t="s">
        <v>2021</v>
      </c>
      <c r="AF302" s="83"/>
      <c r="AG302" s="83"/>
      <c r="AH302" s="83"/>
      <c r="AI302" s="83" t="s">
        <v>2380</v>
      </c>
      <c r="AJ302" s="92">
        <v>43259.74668981481</v>
      </c>
      <c r="AK302" s="89" t="str">
        <f>HYPERLINK("https://yt3.ggpht.com/aXleVHq-vDzX6z8ELE7Ai-j6VVRJ-IEQsjBJtqZfnhBB3Z3J5oagkUuby9TFLj3qXBPayoYT8aw=s88-c-k-c0x00ffffff-no-rj")</f>
        <v>https://yt3.ggpht.com/aXleVHq-vDzX6z8ELE7Ai-j6VVRJ-IEQsjBJtqZfnhBB3Z3J5oagkUuby9TFLj3qXBPayoYT8aw=s88-c-k-c0x00ffffff-no-rj</v>
      </c>
      <c r="AL302" s="83">
        <v>60</v>
      </c>
      <c r="AM302" s="83">
        <v>0</v>
      </c>
      <c r="AN302" s="83">
        <v>3</v>
      </c>
      <c r="AO302" s="83" t="b">
        <v>0</v>
      </c>
      <c r="AP302" s="83">
        <v>5</v>
      </c>
      <c r="AQ302" s="83"/>
      <c r="AR302" s="83"/>
      <c r="AS302" s="83" t="s">
        <v>2744</v>
      </c>
      <c r="AT302" s="89" t="str">
        <f>HYPERLINK("https://www.youtube.com/channel/UCbUFESlDoe1ag7newYZrYiA")</f>
        <v>https://www.youtube.com/channel/UCbUFESlDoe1ag7newYZrYiA</v>
      </c>
      <c r="AU302" s="83" t="str">
        <f>REPLACE(INDEX(GroupVertices[Group],MATCH(Vertices[[#This Row],[Vertex]],GroupVertices[Vertex],0)),1,1,"")</f>
        <v>2</v>
      </c>
      <c r="AV302" s="45"/>
      <c r="AW302" s="46"/>
      <c r="AX302" s="45"/>
      <c r="AY302" s="46"/>
      <c r="AZ302" s="45"/>
      <c r="BA302" s="46"/>
      <c r="BB302" s="45"/>
      <c r="BC302" s="46"/>
      <c r="BD302" s="45"/>
      <c r="BE302" s="110" t="s">
        <v>1874</v>
      </c>
      <c r="BF302" s="110" t="s">
        <v>1874</v>
      </c>
      <c r="BG302" s="110" t="s">
        <v>1874</v>
      </c>
      <c r="BH302" s="110" t="s">
        <v>1874</v>
      </c>
      <c r="BI302" s="2"/>
    </row>
    <row r="303" spans="1:61" ht="15">
      <c r="A303" s="61" t="s">
        <v>506</v>
      </c>
      <c r="B303" s="62" t="s">
        <v>2893</v>
      </c>
      <c r="C303" s="62"/>
      <c r="D303" s="63">
        <v>100</v>
      </c>
      <c r="E303" s="65">
        <v>50</v>
      </c>
      <c r="F303" s="100" t="str">
        <f>HYPERLINK("https://yt3.ggpht.com/ytc/AGIKgqPes4Skvf7PdIamDYN0FKd65zWGWw4LPxx2Ig=s88-c-k-c0x00ffffff-no-rj")</f>
        <v>https://yt3.ggpht.com/ytc/AGIKgqPes4Skvf7PdIamDYN0FKd65zWGWw4LPxx2Ig=s88-c-k-c0x00ffffff-no-rj</v>
      </c>
      <c r="G303" s="62"/>
      <c r="H303" s="66" t="s">
        <v>1344</v>
      </c>
      <c r="I303" s="67"/>
      <c r="J303" s="67" t="s">
        <v>159</v>
      </c>
      <c r="K303" s="66" t="s">
        <v>1344</v>
      </c>
      <c r="L303" s="70"/>
      <c r="M303" s="71">
        <v>603.0931396484375</v>
      </c>
      <c r="N303" s="71">
        <v>595.4464111328125</v>
      </c>
      <c r="O303" s="72"/>
      <c r="P303" s="73"/>
      <c r="Q303" s="73"/>
      <c r="R303" s="94"/>
      <c r="S303" s="45">
        <v>0</v>
      </c>
      <c r="T303" s="45">
        <v>1</v>
      </c>
      <c r="U303" s="46">
        <v>0</v>
      </c>
      <c r="V303" s="46">
        <v>0.122455</v>
      </c>
      <c r="W303" s="46">
        <v>0.068916</v>
      </c>
      <c r="X303" s="46">
        <v>0.002053</v>
      </c>
      <c r="Y303" s="46">
        <v>0</v>
      </c>
      <c r="Z303" s="46">
        <v>0</v>
      </c>
      <c r="AA303" s="68">
        <v>303</v>
      </c>
      <c r="AB303" s="68"/>
      <c r="AC303" s="69"/>
      <c r="AD303" s="83" t="s">
        <v>1344</v>
      </c>
      <c r="AE303" s="83"/>
      <c r="AF303" s="83"/>
      <c r="AG303" s="83"/>
      <c r="AH303" s="83"/>
      <c r="AI303" s="83" t="s">
        <v>2381</v>
      </c>
      <c r="AJ303" s="92">
        <v>41557.84212962963</v>
      </c>
      <c r="AK303" s="89" t="str">
        <f>HYPERLINK("https://yt3.ggpht.com/ytc/AGIKgqPes4Skvf7PdIamDYN0FKd65zWGWw4LPxx2Ig=s88-c-k-c0x00ffffff-no-rj")</f>
        <v>https://yt3.ggpht.com/ytc/AGIKgqPes4Skvf7PdIamDYN0FKd65zWGWw4LPxx2Ig=s88-c-k-c0x00ffffff-no-rj</v>
      </c>
      <c r="AL303" s="83">
        <v>0</v>
      </c>
      <c r="AM303" s="83">
        <v>0</v>
      </c>
      <c r="AN303" s="83">
        <v>2</v>
      </c>
      <c r="AO303" s="83" t="b">
        <v>0</v>
      </c>
      <c r="AP303" s="83">
        <v>0</v>
      </c>
      <c r="AQ303" s="83"/>
      <c r="AR303" s="83"/>
      <c r="AS303" s="83" t="s">
        <v>2744</v>
      </c>
      <c r="AT303" s="89" t="str">
        <f>HYPERLINK("https://www.youtube.com/channel/UC8c9XUxcS0NlapP7vZ-noZw")</f>
        <v>https://www.youtube.com/channel/UC8c9XUxcS0NlapP7vZ-noZw</v>
      </c>
      <c r="AU303" s="83" t="str">
        <f>REPLACE(INDEX(GroupVertices[Group],MATCH(Vertices[[#This Row],[Vertex]],GroupVertices[Vertex],0)),1,1,"")</f>
        <v>1</v>
      </c>
      <c r="AV303" s="45"/>
      <c r="AW303" s="46"/>
      <c r="AX303" s="45"/>
      <c r="AY303" s="46"/>
      <c r="AZ303" s="45"/>
      <c r="BA303" s="46"/>
      <c r="BB303" s="45"/>
      <c r="BC303" s="46"/>
      <c r="BD303" s="45"/>
      <c r="BE303" s="110" t="s">
        <v>1874</v>
      </c>
      <c r="BF303" s="110" t="s">
        <v>1874</v>
      </c>
      <c r="BG303" s="110" t="s">
        <v>1874</v>
      </c>
      <c r="BH303" s="110" t="s">
        <v>1874</v>
      </c>
      <c r="BI303" s="2"/>
    </row>
    <row r="304" spans="1:61" ht="15">
      <c r="A304" s="61" t="s">
        <v>651</v>
      </c>
      <c r="B304" s="62" t="s">
        <v>2893</v>
      </c>
      <c r="C304" s="62"/>
      <c r="D304" s="63">
        <v>1000</v>
      </c>
      <c r="E304" s="65">
        <v>100</v>
      </c>
      <c r="F304" s="100" t="str">
        <f>HYPERLINK("https://yt3.ggpht.com/ytc/AGIKgqNe28KtkQGwiNlB0oh8bDqtuqB_hHpq97E8tYoq=s88-c-k-c0x00ffffff-no-rj")</f>
        <v>https://yt3.ggpht.com/ytc/AGIKgqNe28KtkQGwiNlB0oh8bDqtuqB_hHpq97E8tYoq=s88-c-k-c0x00ffffff-no-rj</v>
      </c>
      <c r="G304" s="62"/>
      <c r="H304" s="66" t="s">
        <v>1904</v>
      </c>
      <c r="I304" s="67"/>
      <c r="J304" s="67" t="s">
        <v>75</v>
      </c>
      <c r="K304" s="66" t="s">
        <v>1904</v>
      </c>
      <c r="L304" s="70"/>
      <c r="M304" s="71">
        <v>603.0931396484375</v>
      </c>
      <c r="N304" s="71">
        <v>9403.5537109375</v>
      </c>
      <c r="O304" s="72"/>
      <c r="P304" s="73"/>
      <c r="Q304" s="73"/>
      <c r="R304" s="94"/>
      <c r="S304" s="45">
        <v>101</v>
      </c>
      <c r="T304" s="45">
        <v>1</v>
      </c>
      <c r="U304" s="46">
        <v>13860</v>
      </c>
      <c r="V304" s="46">
        <v>0.214104</v>
      </c>
      <c r="W304" s="46">
        <v>0.724463</v>
      </c>
      <c r="X304" s="46">
        <v>0.032703</v>
      </c>
      <c r="Y304" s="46">
        <v>0</v>
      </c>
      <c r="Z304" s="46">
        <v>0</v>
      </c>
      <c r="AA304" s="68">
        <v>304</v>
      </c>
      <c r="AB304" s="68"/>
      <c r="AC304" s="69"/>
      <c r="AD304" s="83" t="s">
        <v>1904</v>
      </c>
      <c r="AE304" s="83"/>
      <c r="AF304" s="83"/>
      <c r="AG304" s="83"/>
      <c r="AH304" s="83"/>
      <c r="AI304" s="83" t="s">
        <v>2382</v>
      </c>
      <c r="AJ304" s="83" t="s">
        <v>2678</v>
      </c>
      <c r="AK304" s="89" t="str">
        <f>HYPERLINK("https://yt3.ggpht.com/ytc/AGIKgqNe28KtkQGwiNlB0oh8bDqtuqB_hHpq97E8tYoq=s88-c-k-c0x00ffffff-no-rj")</f>
        <v>https://yt3.ggpht.com/ytc/AGIKgqNe28KtkQGwiNlB0oh8bDqtuqB_hHpq97E8tYoq=s88-c-k-c0x00ffffff-no-rj</v>
      </c>
      <c r="AL304" s="83">
        <v>6813502</v>
      </c>
      <c r="AM304" s="83">
        <v>0</v>
      </c>
      <c r="AN304" s="83">
        <v>7550</v>
      </c>
      <c r="AO304" s="83" t="b">
        <v>0</v>
      </c>
      <c r="AP304" s="83">
        <v>32</v>
      </c>
      <c r="AQ304" s="83"/>
      <c r="AR304" s="83"/>
      <c r="AS304" s="83" t="s">
        <v>2744</v>
      </c>
      <c r="AT304" s="89" t="str">
        <f>HYPERLINK("https://www.youtube.com/channel/UCKTINSJhAdJjcK-AaCmiCuA")</f>
        <v>https://www.youtube.com/channel/UCKTINSJhAdJjcK-AaCmiCuA</v>
      </c>
      <c r="AU304" s="83" t="str">
        <f>REPLACE(INDEX(GroupVertices[Group],MATCH(Vertices[[#This Row],[Vertex]],GroupVertices[Vertex],0)),1,1,"")</f>
        <v>1</v>
      </c>
      <c r="AV304" s="45"/>
      <c r="AW304" s="46"/>
      <c r="AX304" s="45"/>
      <c r="AY304" s="46"/>
      <c r="AZ304" s="45"/>
      <c r="BA304" s="46"/>
      <c r="BB304" s="45"/>
      <c r="BC304" s="46"/>
      <c r="BD304" s="45"/>
      <c r="BE304" s="110" t="s">
        <v>1874</v>
      </c>
      <c r="BF304" s="110" t="s">
        <v>1874</v>
      </c>
      <c r="BG304" s="110" t="s">
        <v>1874</v>
      </c>
      <c r="BH304" s="110" t="s">
        <v>1874</v>
      </c>
      <c r="BI304" s="2"/>
    </row>
    <row r="305" spans="1:61" ht="15">
      <c r="A305" s="61" t="s">
        <v>507</v>
      </c>
      <c r="B305" s="62" t="s">
        <v>2893</v>
      </c>
      <c r="C305" s="62"/>
      <c r="D305" s="63">
        <v>100</v>
      </c>
      <c r="E305" s="65">
        <v>50</v>
      </c>
      <c r="F305" s="100" t="str">
        <f>HYPERLINK("https://yt3.ggpht.com/ytc/AGIKgqPForu9QWh5HCFCp2aCuCSqAtMFqyEDEwTp_Q=s88-c-k-c0x00ffffff-no-rj")</f>
        <v>https://yt3.ggpht.com/ytc/AGIKgqPForu9QWh5HCFCp2aCuCSqAtMFqyEDEwTp_Q=s88-c-k-c0x00ffffff-no-rj</v>
      </c>
      <c r="G305" s="62"/>
      <c r="H305" s="66" t="s">
        <v>1345</v>
      </c>
      <c r="I305" s="67"/>
      <c r="J305" s="67" t="s">
        <v>159</v>
      </c>
      <c r="K305" s="66" t="s">
        <v>1345</v>
      </c>
      <c r="L305" s="70"/>
      <c r="M305" s="71">
        <v>289.6746826171875</v>
      </c>
      <c r="N305" s="71">
        <v>595.4464111328125</v>
      </c>
      <c r="O305" s="72"/>
      <c r="P305" s="73"/>
      <c r="Q305" s="73"/>
      <c r="R305" s="94"/>
      <c r="S305" s="45">
        <v>0</v>
      </c>
      <c r="T305" s="45">
        <v>1</v>
      </c>
      <c r="U305" s="46">
        <v>0</v>
      </c>
      <c r="V305" s="46">
        <v>0.122455</v>
      </c>
      <c r="W305" s="46">
        <v>0.068916</v>
      </c>
      <c r="X305" s="46">
        <v>0.002053</v>
      </c>
      <c r="Y305" s="46">
        <v>0</v>
      </c>
      <c r="Z305" s="46">
        <v>0</v>
      </c>
      <c r="AA305" s="68">
        <v>305</v>
      </c>
      <c r="AB305" s="68"/>
      <c r="AC305" s="69"/>
      <c r="AD305" s="83" t="s">
        <v>1345</v>
      </c>
      <c r="AE305" s="83"/>
      <c r="AF305" s="83"/>
      <c r="AG305" s="83"/>
      <c r="AH305" s="83"/>
      <c r="AI305" s="83" t="s">
        <v>2383</v>
      </c>
      <c r="AJ305" s="92">
        <v>42224.76267361111</v>
      </c>
      <c r="AK305" s="89" t="str">
        <f>HYPERLINK("https://yt3.ggpht.com/ytc/AGIKgqPForu9QWh5HCFCp2aCuCSqAtMFqyEDEwTp_Q=s88-c-k-c0x00ffffff-no-rj")</f>
        <v>https://yt3.ggpht.com/ytc/AGIKgqPForu9QWh5HCFCp2aCuCSqAtMFqyEDEwTp_Q=s88-c-k-c0x00ffffff-no-rj</v>
      </c>
      <c r="AL305" s="83">
        <v>0</v>
      </c>
      <c r="AM305" s="83">
        <v>0</v>
      </c>
      <c r="AN305" s="83">
        <v>10</v>
      </c>
      <c r="AO305" s="83" t="b">
        <v>0</v>
      </c>
      <c r="AP305" s="83">
        <v>0</v>
      </c>
      <c r="AQ305" s="83"/>
      <c r="AR305" s="83"/>
      <c r="AS305" s="83" t="s">
        <v>2744</v>
      </c>
      <c r="AT305" s="89" t="str">
        <f>HYPERLINK("https://www.youtube.com/channel/UCMQp-0kXp6Qr9OAQrds7jDA")</f>
        <v>https://www.youtube.com/channel/UCMQp-0kXp6Qr9OAQrds7jDA</v>
      </c>
      <c r="AU305" s="83" t="str">
        <f>REPLACE(INDEX(GroupVertices[Group],MATCH(Vertices[[#This Row],[Vertex]],GroupVertices[Vertex],0)),1,1,"")</f>
        <v>1</v>
      </c>
      <c r="AV305" s="45"/>
      <c r="AW305" s="46"/>
      <c r="AX305" s="45"/>
      <c r="AY305" s="46"/>
      <c r="AZ305" s="45"/>
      <c r="BA305" s="46"/>
      <c r="BB305" s="45"/>
      <c r="BC305" s="46"/>
      <c r="BD305" s="45"/>
      <c r="BE305" s="110" t="s">
        <v>1874</v>
      </c>
      <c r="BF305" s="110" t="s">
        <v>1874</v>
      </c>
      <c r="BG305" s="110" t="s">
        <v>1874</v>
      </c>
      <c r="BH305" s="110" t="s">
        <v>1874</v>
      </c>
      <c r="BI305" s="2"/>
    </row>
    <row r="306" spans="1:61" ht="15">
      <c r="A306" s="61" t="s">
        <v>508</v>
      </c>
      <c r="B306" s="62" t="s">
        <v>2893</v>
      </c>
      <c r="C306" s="62"/>
      <c r="D306" s="63">
        <v>100</v>
      </c>
      <c r="E306" s="65">
        <v>50</v>
      </c>
      <c r="F306" s="100" t="str">
        <f>HYPERLINK("https://yt3.ggpht.com/ytc/AGIKgqNUJnLuyzkn-92-mdfi32c6PpXX2cqwkeaiIgR7=s88-c-k-c0x00ffffff-no-rj")</f>
        <v>https://yt3.ggpht.com/ytc/AGIKgqNUJnLuyzkn-92-mdfi32c6PpXX2cqwkeaiIgR7=s88-c-k-c0x00ffffff-no-rj</v>
      </c>
      <c r="G306" s="62"/>
      <c r="H306" s="66" t="s">
        <v>1346</v>
      </c>
      <c r="I306" s="67"/>
      <c r="J306" s="67" t="s">
        <v>159</v>
      </c>
      <c r="K306" s="66" t="s">
        <v>1346</v>
      </c>
      <c r="L306" s="70"/>
      <c r="M306" s="71">
        <v>2170.185791015625</v>
      </c>
      <c r="N306" s="71">
        <v>1224.5968017578125</v>
      </c>
      <c r="O306" s="72"/>
      <c r="P306" s="73"/>
      <c r="Q306" s="73"/>
      <c r="R306" s="94"/>
      <c r="S306" s="45">
        <v>0</v>
      </c>
      <c r="T306" s="45">
        <v>1</v>
      </c>
      <c r="U306" s="46">
        <v>0</v>
      </c>
      <c r="V306" s="46">
        <v>0.122455</v>
      </c>
      <c r="W306" s="46">
        <v>0.068916</v>
      </c>
      <c r="X306" s="46">
        <v>0.002053</v>
      </c>
      <c r="Y306" s="46">
        <v>0</v>
      </c>
      <c r="Z306" s="46">
        <v>0</v>
      </c>
      <c r="AA306" s="68">
        <v>306</v>
      </c>
      <c r="AB306" s="68"/>
      <c r="AC306" s="69"/>
      <c r="AD306" s="83" t="s">
        <v>1346</v>
      </c>
      <c r="AE306" s="83"/>
      <c r="AF306" s="83"/>
      <c r="AG306" s="83"/>
      <c r="AH306" s="83"/>
      <c r="AI306" s="83" t="s">
        <v>2384</v>
      </c>
      <c r="AJ306" s="92">
        <v>43048.65304398148</v>
      </c>
      <c r="AK306" s="89" t="str">
        <f>HYPERLINK("https://yt3.ggpht.com/ytc/AGIKgqNUJnLuyzkn-92-mdfi32c6PpXX2cqwkeaiIgR7=s88-c-k-c0x00ffffff-no-rj")</f>
        <v>https://yt3.ggpht.com/ytc/AGIKgqNUJnLuyzkn-92-mdfi32c6PpXX2cqwkeaiIgR7=s88-c-k-c0x00ffffff-no-rj</v>
      </c>
      <c r="AL306" s="83">
        <v>0</v>
      </c>
      <c r="AM306" s="83">
        <v>0</v>
      </c>
      <c r="AN306" s="83">
        <v>0</v>
      </c>
      <c r="AO306" s="83" t="b">
        <v>0</v>
      </c>
      <c r="AP306" s="83">
        <v>0</v>
      </c>
      <c r="AQ306" s="83"/>
      <c r="AR306" s="83"/>
      <c r="AS306" s="83" t="s">
        <v>2744</v>
      </c>
      <c r="AT306" s="89" t="str">
        <f>HYPERLINK("https://www.youtube.com/channel/UChn-Crm5oezfkQ5R_qZJTcQ")</f>
        <v>https://www.youtube.com/channel/UChn-Crm5oezfkQ5R_qZJTcQ</v>
      </c>
      <c r="AU306" s="83" t="str">
        <f>REPLACE(INDEX(GroupVertices[Group],MATCH(Vertices[[#This Row],[Vertex]],GroupVertices[Vertex],0)),1,1,"")</f>
        <v>1</v>
      </c>
      <c r="AV306" s="45"/>
      <c r="AW306" s="46"/>
      <c r="AX306" s="45"/>
      <c r="AY306" s="46"/>
      <c r="AZ306" s="45"/>
      <c r="BA306" s="46"/>
      <c r="BB306" s="45"/>
      <c r="BC306" s="46"/>
      <c r="BD306" s="45"/>
      <c r="BE306" s="110" t="s">
        <v>1874</v>
      </c>
      <c r="BF306" s="110" t="s">
        <v>1874</v>
      </c>
      <c r="BG306" s="110" t="s">
        <v>1874</v>
      </c>
      <c r="BH306" s="110" t="s">
        <v>1874</v>
      </c>
      <c r="BI306" s="2"/>
    </row>
    <row r="307" spans="1:61" ht="15">
      <c r="A307" s="61" t="s">
        <v>509</v>
      </c>
      <c r="B307" s="62" t="s">
        <v>2893</v>
      </c>
      <c r="C307" s="62"/>
      <c r="D307" s="63">
        <v>100</v>
      </c>
      <c r="E307" s="65">
        <v>50</v>
      </c>
      <c r="F307" s="100" t="str">
        <f>HYPERLINK("https://yt3.ggpht.com/ytc/AGIKgqNXGUzH8j0jlqX5oL66oFkZIhnDCQJUl0NdQw=s88-c-k-c0x00ffffff-no-rj")</f>
        <v>https://yt3.ggpht.com/ytc/AGIKgqNXGUzH8j0jlqX5oL66oFkZIhnDCQJUl0NdQw=s88-c-k-c0x00ffffff-no-rj</v>
      </c>
      <c r="G307" s="62"/>
      <c r="H307" s="66" t="s">
        <v>1347</v>
      </c>
      <c r="I307" s="67"/>
      <c r="J307" s="67" t="s">
        <v>159</v>
      </c>
      <c r="K307" s="66" t="s">
        <v>1347</v>
      </c>
      <c r="L307" s="70"/>
      <c r="M307" s="71">
        <v>1856.76708984375</v>
      </c>
      <c r="N307" s="71">
        <v>1224.5968017578125</v>
      </c>
      <c r="O307" s="72"/>
      <c r="P307" s="73"/>
      <c r="Q307" s="73"/>
      <c r="R307" s="94"/>
      <c r="S307" s="45">
        <v>0</v>
      </c>
      <c r="T307" s="45">
        <v>1</v>
      </c>
      <c r="U307" s="46">
        <v>0</v>
      </c>
      <c r="V307" s="46">
        <v>0.122455</v>
      </c>
      <c r="W307" s="46">
        <v>0.068916</v>
      </c>
      <c r="X307" s="46">
        <v>0.002053</v>
      </c>
      <c r="Y307" s="46">
        <v>0</v>
      </c>
      <c r="Z307" s="46">
        <v>0</v>
      </c>
      <c r="AA307" s="68">
        <v>307</v>
      </c>
      <c r="AB307" s="68"/>
      <c r="AC307" s="69"/>
      <c r="AD307" s="83" t="s">
        <v>1347</v>
      </c>
      <c r="AE307" s="83"/>
      <c r="AF307" s="83"/>
      <c r="AG307" s="83"/>
      <c r="AH307" s="83"/>
      <c r="AI307" s="83" t="s">
        <v>2385</v>
      </c>
      <c r="AJ307" s="92">
        <v>42561.87351851852</v>
      </c>
      <c r="AK307" s="89" t="str">
        <f>HYPERLINK("https://yt3.ggpht.com/ytc/AGIKgqNXGUzH8j0jlqX5oL66oFkZIhnDCQJUl0NdQw=s88-c-k-c0x00ffffff-no-rj")</f>
        <v>https://yt3.ggpht.com/ytc/AGIKgqNXGUzH8j0jlqX5oL66oFkZIhnDCQJUl0NdQw=s88-c-k-c0x00ffffff-no-rj</v>
      </c>
      <c r="AL307" s="83">
        <v>0</v>
      </c>
      <c r="AM307" s="83">
        <v>0</v>
      </c>
      <c r="AN307" s="83">
        <v>0</v>
      </c>
      <c r="AO307" s="83" t="b">
        <v>0</v>
      </c>
      <c r="AP307" s="83">
        <v>0</v>
      </c>
      <c r="AQ307" s="83"/>
      <c r="AR307" s="83"/>
      <c r="AS307" s="83" t="s">
        <v>2744</v>
      </c>
      <c r="AT307" s="89" t="str">
        <f>HYPERLINK("https://www.youtube.com/channel/UCHazLkCa7qmF3gwl1U6WNmA")</f>
        <v>https://www.youtube.com/channel/UCHazLkCa7qmF3gwl1U6WNmA</v>
      </c>
      <c r="AU307" s="83" t="str">
        <f>REPLACE(INDEX(GroupVertices[Group],MATCH(Vertices[[#This Row],[Vertex]],GroupVertices[Vertex],0)),1,1,"")</f>
        <v>1</v>
      </c>
      <c r="AV307" s="45"/>
      <c r="AW307" s="46"/>
      <c r="AX307" s="45"/>
      <c r="AY307" s="46"/>
      <c r="AZ307" s="45"/>
      <c r="BA307" s="46"/>
      <c r="BB307" s="45"/>
      <c r="BC307" s="46"/>
      <c r="BD307" s="45"/>
      <c r="BE307" s="110" t="s">
        <v>1874</v>
      </c>
      <c r="BF307" s="110" t="s">
        <v>1874</v>
      </c>
      <c r="BG307" s="110" t="s">
        <v>1874</v>
      </c>
      <c r="BH307" s="110" t="s">
        <v>1874</v>
      </c>
      <c r="BI307" s="2"/>
    </row>
    <row r="308" spans="1:61" ht="15">
      <c r="A308" s="61" t="s">
        <v>510</v>
      </c>
      <c r="B308" s="62" t="s">
        <v>2893</v>
      </c>
      <c r="C308" s="62"/>
      <c r="D308" s="63">
        <v>100</v>
      </c>
      <c r="E308" s="65">
        <v>50</v>
      </c>
      <c r="F308" s="100" t="str">
        <f>HYPERLINK("https://yt3.ggpht.com/ytc/AGIKgqNDXyqsH8dUZNNay6cG6cDHR-xDgIFD6m3WxA=s88-c-k-c0x00ffffff-no-rj")</f>
        <v>https://yt3.ggpht.com/ytc/AGIKgqNDXyqsH8dUZNNay6cG6cDHR-xDgIFD6m3WxA=s88-c-k-c0x00ffffff-no-rj</v>
      </c>
      <c r="G308" s="62"/>
      <c r="H308" s="66" t="s">
        <v>1348</v>
      </c>
      <c r="I308" s="67"/>
      <c r="J308" s="67" t="s">
        <v>159</v>
      </c>
      <c r="K308" s="66" t="s">
        <v>1348</v>
      </c>
      <c r="L308" s="70"/>
      <c r="M308" s="71">
        <v>1543.3487548828125</v>
      </c>
      <c r="N308" s="71">
        <v>1224.5968017578125</v>
      </c>
      <c r="O308" s="72"/>
      <c r="P308" s="73"/>
      <c r="Q308" s="73"/>
      <c r="R308" s="94"/>
      <c r="S308" s="45">
        <v>0</v>
      </c>
      <c r="T308" s="45">
        <v>1</v>
      </c>
      <c r="U308" s="46">
        <v>0</v>
      </c>
      <c r="V308" s="46">
        <v>0.122455</v>
      </c>
      <c r="W308" s="46">
        <v>0.068916</v>
      </c>
      <c r="X308" s="46">
        <v>0.002053</v>
      </c>
      <c r="Y308" s="46">
        <v>0</v>
      </c>
      <c r="Z308" s="46">
        <v>0</v>
      </c>
      <c r="AA308" s="68">
        <v>308</v>
      </c>
      <c r="AB308" s="68"/>
      <c r="AC308" s="69"/>
      <c r="AD308" s="83" t="s">
        <v>1348</v>
      </c>
      <c r="AE308" s="83"/>
      <c r="AF308" s="83"/>
      <c r="AG308" s="83"/>
      <c r="AH308" s="83"/>
      <c r="AI308" s="83" t="s">
        <v>2386</v>
      </c>
      <c r="AJ308" s="92">
        <v>42159.92738425926</v>
      </c>
      <c r="AK308" s="89" t="str">
        <f>HYPERLINK("https://yt3.ggpht.com/ytc/AGIKgqNDXyqsH8dUZNNay6cG6cDHR-xDgIFD6m3WxA=s88-c-k-c0x00ffffff-no-rj")</f>
        <v>https://yt3.ggpht.com/ytc/AGIKgqNDXyqsH8dUZNNay6cG6cDHR-xDgIFD6m3WxA=s88-c-k-c0x00ffffff-no-rj</v>
      </c>
      <c r="AL308" s="83">
        <v>0</v>
      </c>
      <c r="AM308" s="83">
        <v>0</v>
      </c>
      <c r="AN308" s="83">
        <v>0</v>
      </c>
      <c r="AO308" s="83" t="b">
        <v>0</v>
      </c>
      <c r="AP308" s="83">
        <v>0</v>
      </c>
      <c r="AQ308" s="83"/>
      <c r="AR308" s="83"/>
      <c r="AS308" s="83" t="s">
        <v>2744</v>
      </c>
      <c r="AT308" s="89" t="str">
        <f>HYPERLINK("https://www.youtube.com/channel/UCsTTM93-MWoQ1IZ_0cVo8UA")</f>
        <v>https://www.youtube.com/channel/UCsTTM93-MWoQ1IZ_0cVo8UA</v>
      </c>
      <c r="AU308" s="83" t="str">
        <f>REPLACE(INDEX(GroupVertices[Group],MATCH(Vertices[[#This Row],[Vertex]],GroupVertices[Vertex],0)),1,1,"")</f>
        <v>1</v>
      </c>
      <c r="AV308" s="45"/>
      <c r="AW308" s="46"/>
      <c r="AX308" s="45"/>
      <c r="AY308" s="46"/>
      <c r="AZ308" s="45"/>
      <c r="BA308" s="46"/>
      <c r="BB308" s="45"/>
      <c r="BC308" s="46"/>
      <c r="BD308" s="45"/>
      <c r="BE308" s="110" t="s">
        <v>1874</v>
      </c>
      <c r="BF308" s="110" t="s">
        <v>1874</v>
      </c>
      <c r="BG308" s="110" t="s">
        <v>1874</v>
      </c>
      <c r="BH308" s="110" t="s">
        <v>1874</v>
      </c>
      <c r="BI308" s="2"/>
    </row>
    <row r="309" spans="1:61" ht="15">
      <c r="A309" s="61" t="s">
        <v>511</v>
      </c>
      <c r="B309" s="62" t="s">
        <v>2893</v>
      </c>
      <c r="C309" s="62"/>
      <c r="D309" s="63">
        <v>100</v>
      </c>
      <c r="E309" s="65">
        <v>50</v>
      </c>
      <c r="F309" s="100" t="str">
        <f>HYPERLINK("https://yt3.ggpht.com/dwXaOi_P5vh2QjZZHoeKOwuAbBiVIaD2QMyJ94XGlH--Vgor9empheVdn-zgKt2XmYXjL4CaGt4=s88-c-k-c0x00ffffff-no-rj")</f>
        <v>https://yt3.ggpht.com/dwXaOi_P5vh2QjZZHoeKOwuAbBiVIaD2QMyJ94XGlH--Vgor9empheVdn-zgKt2XmYXjL4CaGt4=s88-c-k-c0x00ffffff-no-rj</v>
      </c>
      <c r="G309" s="62"/>
      <c r="H309" s="66" t="s">
        <v>1349</v>
      </c>
      <c r="I309" s="67"/>
      <c r="J309" s="67" t="s">
        <v>159</v>
      </c>
      <c r="K309" s="66" t="s">
        <v>1349</v>
      </c>
      <c r="L309" s="70"/>
      <c r="M309" s="71">
        <v>1229.93017578125</v>
      </c>
      <c r="N309" s="71">
        <v>1224.5968017578125</v>
      </c>
      <c r="O309" s="72"/>
      <c r="P309" s="73"/>
      <c r="Q309" s="73"/>
      <c r="R309" s="94"/>
      <c r="S309" s="45">
        <v>0</v>
      </c>
      <c r="T309" s="45">
        <v>1</v>
      </c>
      <c r="U309" s="46">
        <v>0</v>
      </c>
      <c r="V309" s="46">
        <v>0.122455</v>
      </c>
      <c r="W309" s="46">
        <v>0.068916</v>
      </c>
      <c r="X309" s="46">
        <v>0.002053</v>
      </c>
      <c r="Y309" s="46">
        <v>0</v>
      </c>
      <c r="Z309" s="46">
        <v>0</v>
      </c>
      <c r="AA309" s="68">
        <v>309</v>
      </c>
      <c r="AB309" s="68"/>
      <c r="AC309" s="69"/>
      <c r="AD309" s="83" t="s">
        <v>1349</v>
      </c>
      <c r="AE309" s="83" t="s">
        <v>2022</v>
      </c>
      <c r="AF309" s="83"/>
      <c r="AG309" s="83"/>
      <c r="AH309" s="83"/>
      <c r="AI309" s="83" t="s">
        <v>2387</v>
      </c>
      <c r="AJ309" s="92">
        <v>42011.90462962963</v>
      </c>
      <c r="AK309" s="89" t="str">
        <f>HYPERLINK("https://yt3.ggpht.com/dwXaOi_P5vh2QjZZHoeKOwuAbBiVIaD2QMyJ94XGlH--Vgor9empheVdn-zgKt2XmYXjL4CaGt4=s88-c-k-c0x00ffffff-no-rj")</f>
        <v>https://yt3.ggpht.com/dwXaOi_P5vh2QjZZHoeKOwuAbBiVIaD2QMyJ94XGlH--Vgor9empheVdn-zgKt2XmYXjL4CaGt4=s88-c-k-c0x00ffffff-no-rj</v>
      </c>
      <c r="AL309" s="83">
        <v>0</v>
      </c>
      <c r="AM309" s="83">
        <v>0</v>
      </c>
      <c r="AN309" s="83">
        <v>208</v>
      </c>
      <c r="AO309" s="83" t="b">
        <v>0</v>
      </c>
      <c r="AP309" s="83">
        <v>0</v>
      </c>
      <c r="AQ309" s="83"/>
      <c r="AR309" s="83"/>
      <c r="AS309" s="83" t="s">
        <v>2744</v>
      </c>
      <c r="AT309" s="89" t="str">
        <f>HYPERLINK("https://www.youtube.com/channel/UCSRhMQnkcjUEj8byD3z-Zvw")</f>
        <v>https://www.youtube.com/channel/UCSRhMQnkcjUEj8byD3z-Zvw</v>
      </c>
      <c r="AU309" s="83" t="str">
        <f>REPLACE(INDEX(GroupVertices[Group],MATCH(Vertices[[#This Row],[Vertex]],GroupVertices[Vertex],0)),1,1,"")</f>
        <v>1</v>
      </c>
      <c r="AV309" s="45"/>
      <c r="AW309" s="46"/>
      <c r="AX309" s="45"/>
      <c r="AY309" s="46"/>
      <c r="AZ309" s="45"/>
      <c r="BA309" s="46"/>
      <c r="BB309" s="45"/>
      <c r="BC309" s="46"/>
      <c r="BD309" s="45"/>
      <c r="BE309" s="110" t="s">
        <v>1874</v>
      </c>
      <c r="BF309" s="110" t="s">
        <v>1874</v>
      </c>
      <c r="BG309" s="110" t="s">
        <v>1874</v>
      </c>
      <c r="BH309" s="110" t="s">
        <v>1874</v>
      </c>
      <c r="BI309" s="2"/>
    </row>
    <row r="310" spans="1:61" ht="15">
      <c r="A310" s="61" t="s">
        <v>512</v>
      </c>
      <c r="B310" s="62" t="s">
        <v>2893</v>
      </c>
      <c r="C310" s="62"/>
      <c r="D310" s="63">
        <v>100</v>
      </c>
      <c r="E310" s="65">
        <v>50</v>
      </c>
      <c r="F310" s="100" t="str">
        <f>HYPERLINK("https://yt3.ggpht.com/ytc/AGIKgqOzzMMCDbpgbQEdKpc7dJeKH0FIN-EToUltkyqBGA=s88-c-k-c0x00ffffff-no-rj")</f>
        <v>https://yt3.ggpht.com/ytc/AGIKgqOzzMMCDbpgbQEdKpc7dJeKH0FIN-EToUltkyqBGA=s88-c-k-c0x00ffffff-no-rj</v>
      </c>
      <c r="G310" s="62"/>
      <c r="H310" s="66" t="s">
        <v>1350</v>
      </c>
      <c r="I310" s="67"/>
      <c r="J310" s="67" t="s">
        <v>159</v>
      </c>
      <c r="K310" s="66" t="s">
        <v>1350</v>
      </c>
      <c r="L310" s="70"/>
      <c r="M310" s="71">
        <v>916.51171875</v>
      </c>
      <c r="N310" s="71">
        <v>1224.5968017578125</v>
      </c>
      <c r="O310" s="72"/>
      <c r="P310" s="73"/>
      <c r="Q310" s="73"/>
      <c r="R310" s="94"/>
      <c r="S310" s="45">
        <v>0</v>
      </c>
      <c r="T310" s="45">
        <v>1</v>
      </c>
      <c r="U310" s="46">
        <v>0</v>
      </c>
      <c r="V310" s="46">
        <v>0.122455</v>
      </c>
      <c r="W310" s="46">
        <v>0.068916</v>
      </c>
      <c r="X310" s="46">
        <v>0.002053</v>
      </c>
      <c r="Y310" s="46">
        <v>0</v>
      </c>
      <c r="Z310" s="46">
        <v>0</v>
      </c>
      <c r="AA310" s="68">
        <v>310</v>
      </c>
      <c r="AB310" s="68"/>
      <c r="AC310" s="69"/>
      <c r="AD310" s="83" t="s">
        <v>1350</v>
      </c>
      <c r="AE310" s="83" t="s">
        <v>2023</v>
      </c>
      <c r="AF310" s="83"/>
      <c r="AG310" s="83"/>
      <c r="AH310" s="83"/>
      <c r="AI310" s="83" t="s">
        <v>2388</v>
      </c>
      <c r="AJ310" s="83" t="s">
        <v>2679</v>
      </c>
      <c r="AK310" s="89" t="str">
        <f>HYPERLINK("https://yt3.ggpht.com/ytc/AGIKgqOzzMMCDbpgbQEdKpc7dJeKH0FIN-EToUltkyqBGA=s88-c-k-c0x00ffffff-no-rj")</f>
        <v>https://yt3.ggpht.com/ytc/AGIKgqOzzMMCDbpgbQEdKpc7dJeKH0FIN-EToUltkyqBGA=s88-c-k-c0x00ffffff-no-rj</v>
      </c>
      <c r="AL310" s="83">
        <v>0</v>
      </c>
      <c r="AM310" s="83">
        <v>0</v>
      </c>
      <c r="AN310" s="83">
        <v>113</v>
      </c>
      <c r="AO310" s="83" t="b">
        <v>0</v>
      </c>
      <c r="AP310" s="83">
        <v>0</v>
      </c>
      <c r="AQ310" s="83"/>
      <c r="AR310" s="83"/>
      <c r="AS310" s="83" t="s">
        <v>2744</v>
      </c>
      <c r="AT310" s="89" t="str">
        <f>HYPERLINK("https://www.youtube.com/channel/UCmHrJ7JkvfVQv3GwY66DqTA")</f>
        <v>https://www.youtube.com/channel/UCmHrJ7JkvfVQv3GwY66DqTA</v>
      </c>
      <c r="AU310" s="83" t="str">
        <f>REPLACE(INDEX(GroupVertices[Group],MATCH(Vertices[[#This Row],[Vertex]],GroupVertices[Vertex],0)),1,1,"")</f>
        <v>1</v>
      </c>
      <c r="AV310" s="45"/>
      <c r="AW310" s="46"/>
      <c r="AX310" s="45"/>
      <c r="AY310" s="46"/>
      <c r="AZ310" s="45"/>
      <c r="BA310" s="46"/>
      <c r="BB310" s="45"/>
      <c r="BC310" s="46"/>
      <c r="BD310" s="45"/>
      <c r="BE310" s="110" t="s">
        <v>1874</v>
      </c>
      <c r="BF310" s="110" t="s">
        <v>1874</v>
      </c>
      <c r="BG310" s="110" t="s">
        <v>1874</v>
      </c>
      <c r="BH310" s="110" t="s">
        <v>1874</v>
      </c>
      <c r="BI310" s="2"/>
    </row>
    <row r="311" spans="1:61" ht="15">
      <c r="A311" s="61" t="s">
        <v>513</v>
      </c>
      <c r="B311" s="62" t="s">
        <v>2893</v>
      </c>
      <c r="C311" s="62"/>
      <c r="D311" s="63">
        <v>100</v>
      </c>
      <c r="E311" s="65">
        <v>50</v>
      </c>
      <c r="F311" s="100" t="str">
        <f>HYPERLINK("https://yt3.ggpht.com/ytc/AGIKgqNakAVnYdL4o3oL9rVwGtXU8S9b3-AammWWrNC-6Q=s88-c-k-c0x00ffffff-no-rj")</f>
        <v>https://yt3.ggpht.com/ytc/AGIKgqNakAVnYdL4o3oL9rVwGtXU8S9b3-AammWWrNC-6Q=s88-c-k-c0x00ffffff-no-rj</v>
      </c>
      <c r="G311" s="62"/>
      <c r="H311" s="66" t="s">
        <v>1351</v>
      </c>
      <c r="I311" s="67"/>
      <c r="J311" s="67" t="s">
        <v>159</v>
      </c>
      <c r="K311" s="66" t="s">
        <v>1351</v>
      </c>
      <c r="L311" s="70"/>
      <c r="M311" s="71">
        <v>603.0931396484375</v>
      </c>
      <c r="N311" s="71">
        <v>1224.5968017578125</v>
      </c>
      <c r="O311" s="72"/>
      <c r="P311" s="73"/>
      <c r="Q311" s="73"/>
      <c r="R311" s="94"/>
      <c r="S311" s="45">
        <v>0</v>
      </c>
      <c r="T311" s="45">
        <v>1</v>
      </c>
      <c r="U311" s="46">
        <v>0</v>
      </c>
      <c r="V311" s="46">
        <v>0.122455</v>
      </c>
      <c r="W311" s="46">
        <v>0.068916</v>
      </c>
      <c r="X311" s="46">
        <v>0.002053</v>
      </c>
      <c r="Y311" s="46">
        <v>0</v>
      </c>
      <c r="Z311" s="46">
        <v>0</v>
      </c>
      <c r="AA311" s="68">
        <v>311</v>
      </c>
      <c r="AB311" s="68"/>
      <c r="AC311" s="69"/>
      <c r="AD311" s="83" t="s">
        <v>1351</v>
      </c>
      <c r="AE311" s="83" t="s">
        <v>2024</v>
      </c>
      <c r="AF311" s="83"/>
      <c r="AG311" s="83"/>
      <c r="AH311" s="83"/>
      <c r="AI311" s="83" t="s">
        <v>2389</v>
      </c>
      <c r="AJ311" s="92">
        <v>42132.98792824074</v>
      </c>
      <c r="AK311" s="89" t="str">
        <f>HYPERLINK("https://yt3.ggpht.com/ytc/AGIKgqNakAVnYdL4o3oL9rVwGtXU8S9b3-AammWWrNC-6Q=s88-c-k-c0x00ffffff-no-rj")</f>
        <v>https://yt3.ggpht.com/ytc/AGIKgqNakAVnYdL4o3oL9rVwGtXU8S9b3-AammWWrNC-6Q=s88-c-k-c0x00ffffff-no-rj</v>
      </c>
      <c r="AL311" s="83">
        <v>565</v>
      </c>
      <c r="AM311" s="83">
        <v>0</v>
      </c>
      <c r="AN311" s="83">
        <v>17</v>
      </c>
      <c r="AO311" s="83" t="b">
        <v>0</v>
      </c>
      <c r="AP311" s="83">
        <v>14</v>
      </c>
      <c r="AQ311" s="83"/>
      <c r="AR311" s="83"/>
      <c r="AS311" s="83" t="s">
        <v>2744</v>
      </c>
      <c r="AT311" s="89" t="str">
        <f>HYPERLINK("https://www.youtube.com/channel/UCg4u7k-jvBu5oyPIv96Q1Gw")</f>
        <v>https://www.youtube.com/channel/UCg4u7k-jvBu5oyPIv96Q1Gw</v>
      </c>
      <c r="AU311" s="83" t="str">
        <f>REPLACE(INDEX(GroupVertices[Group],MATCH(Vertices[[#This Row],[Vertex]],GroupVertices[Vertex],0)),1,1,"")</f>
        <v>1</v>
      </c>
      <c r="AV311" s="45"/>
      <c r="AW311" s="46"/>
      <c r="AX311" s="45"/>
      <c r="AY311" s="46"/>
      <c r="AZ311" s="45"/>
      <c r="BA311" s="46"/>
      <c r="BB311" s="45"/>
      <c r="BC311" s="46"/>
      <c r="BD311" s="45"/>
      <c r="BE311" s="110" t="s">
        <v>1874</v>
      </c>
      <c r="BF311" s="110" t="s">
        <v>1874</v>
      </c>
      <c r="BG311" s="110" t="s">
        <v>1874</v>
      </c>
      <c r="BH311" s="110" t="s">
        <v>1874</v>
      </c>
      <c r="BI311" s="2"/>
    </row>
    <row r="312" spans="1:61" ht="15">
      <c r="A312" s="61" t="s">
        <v>514</v>
      </c>
      <c r="B312" s="62" t="s">
        <v>2893</v>
      </c>
      <c r="C312" s="62"/>
      <c r="D312" s="63">
        <v>100</v>
      </c>
      <c r="E312" s="65">
        <v>50</v>
      </c>
      <c r="F312" s="100" t="str">
        <f>HYPERLINK("https://yt3.ggpht.com/ytc/AGIKgqO2lWHM49gmvZXce6fc0XAOSgUZZSniqJNHKZtdJw=s88-c-k-c0x00ffffff-no-rj")</f>
        <v>https://yt3.ggpht.com/ytc/AGIKgqO2lWHM49gmvZXce6fc0XAOSgUZZSniqJNHKZtdJw=s88-c-k-c0x00ffffff-no-rj</v>
      </c>
      <c r="G312" s="62"/>
      <c r="H312" s="66" t="s">
        <v>1352</v>
      </c>
      <c r="I312" s="67"/>
      <c r="J312" s="67" t="s">
        <v>159</v>
      </c>
      <c r="K312" s="66" t="s">
        <v>1352</v>
      </c>
      <c r="L312" s="70"/>
      <c r="M312" s="71">
        <v>289.6746826171875</v>
      </c>
      <c r="N312" s="71">
        <v>1224.5968017578125</v>
      </c>
      <c r="O312" s="72"/>
      <c r="P312" s="73"/>
      <c r="Q312" s="73"/>
      <c r="R312" s="94"/>
      <c r="S312" s="45">
        <v>0</v>
      </c>
      <c r="T312" s="45">
        <v>1</v>
      </c>
      <c r="U312" s="46">
        <v>0</v>
      </c>
      <c r="V312" s="46">
        <v>0.122455</v>
      </c>
      <c r="W312" s="46">
        <v>0.068916</v>
      </c>
      <c r="X312" s="46">
        <v>0.002053</v>
      </c>
      <c r="Y312" s="46">
        <v>0</v>
      </c>
      <c r="Z312" s="46">
        <v>0</v>
      </c>
      <c r="AA312" s="68">
        <v>312</v>
      </c>
      <c r="AB312" s="68"/>
      <c r="AC312" s="69"/>
      <c r="AD312" s="83" t="s">
        <v>1352</v>
      </c>
      <c r="AE312" s="83" t="s">
        <v>2025</v>
      </c>
      <c r="AF312" s="83"/>
      <c r="AG312" s="83"/>
      <c r="AH312" s="83"/>
      <c r="AI312" s="83" t="s">
        <v>2390</v>
      </c>
      <c r="AJ312" s="83" t="s">
        <v>2680</v>
      </c>
      <c r="AK312" s="89" t="str">
        <f>HYPERLINK("https://yt3.ggpht.com/ytc/AGIKgqO2lWHM49gmvZXce6fc0XAOSgUZZSniqJNHKZtdJw=s88-c-k-c0x00ffffff-no-rj")</f>
        <v>https://yt3.ggpht.com/ytc/AGIKgqO2lWHM49gmvZXce6fc0XAOSgUZZSniqJNHKZtdJw=s88-c-k-c0x00ffffff-no-rj</v>
      </c>
      <c r="AL312" s="83">
        <v>83</v>
      </c>
      <c r="AM312" s="83">
        <v>0</v>
      </c>
      <c r="AN312" s="83">
        <v>10</v>
      </c>
      <c r="AO312" s="83" t="b">
        <v>0</v>
      </c>
      <c r="AP312" s="83">
        <v>1</v>
      </c>
      <c r="AQ312" s="83"/>
      <c r="AR312" s="83"/>
      <c r="AS312" s="83" t="s">
        <v>2744</v>
      </c>
      <c r="AT312" s="89" t="str">
        <f>HYPERLINK("https://www.youtube.com/channel/UCYPe4POgVRRWe_8qSya6icA")</f>
        <v>https://www.youtube.com/channel/UCYPe4POgVRRWe_8qSya6icA</v>
      </c>
      <c r="AU312" s="83" t="str">
        <f>REPLACE(INDEX(GroupVertices[Group],MATCH(Vertices[[#This Row],[Vertex]],GroupVertices[Vertex],0)),1,1,"")</f>
        <v>1</v>
      </c>
      <c r="AV312" s="45"/>
      <c r="AW312" s="46"/>
      <c r="AX312" s="45"/>
      <c r="AY312" s="46"/>
      <c r="AZ312" s="45"/>
      <c r="BA312" s="46"/>
      <c r="BB312" s="45"/>
      <c r="BC312" s="46"/>
      <c r="BD312" s="45"/>
      <c r="BE312" s="110" t="s">
        <v>1874</v>
      </c>
      <c r="BF312" s="110" t="s">
        <v>1874</v>
      </c>
      <c r="BG312" s="110" t="s">
        <v>1874</v>
      </c>
      <c r="BH312" s="110" t="s">
        <v>1874</v>
      </c>
      <c r="BI312" s="2"/>
    </row>
    <row r="313" spans="1:61" ht="15">
      <c r="A313" s="61" t="s">
        <v>515</v>
      </c>
      <c r="B313" s="62" t="s">
        <v>2893</v>
      </c>
      <c r="C313" s="62"/>
      <c r="D313" s="63">
        <v>100</v>
      </c>
      <c r="E313" s="65">
        <v>50</v>
      </c>
      <c r="F313" s="100" t="str">
        <f>HYPERLINK("https://yt3.ggpht.com/ytc/AGIKgqPxZWMoA4g6XkomB3OO6hrXbBqKHeyKlMt0GlOn=s88-c-k-c0x00ffffff-no-rj")</f>
        <v>https://yt3.ggpht.com/ytc/AGIKgqPxZWMoA4g6XkomB3OO6hrXbBqKHeyKlMt0GlOn=s88-c-k-c0x00ffffff-no-rj</v>
      </c>
      <c r="G313" s="62"/>
      <c r="H313" s="66" t="s">
        <v>1353</v>
      </c>
      <c r="I313" s="67"/>
      <c r="J313" s="67" t="s">
        <v>159</v>
      </c>
      <c r="K313" s="66" t="s">
        <v>1353</v>
      </c>
      <c r="L313" s="70"/>
      <c r="M313" s="71">
        <v>2170.185791015625</v>
      </c>
      <c r="N313" s="71">
        <v>1853.7471923828125</v>
      </c>
      <c r="O313" s="72"/>
      <c r="P313" s="73"/>
      <c r="Q313" s="73"/>
      <c r="R313" s="94"/>
      <c r="S313" s="45">
        <v>0</v>
      </c>
      <c r="T313" s="45">
        <v>1</v>
      </c>
      <c r="U313" s="46">
        <v>0</v>
      </c>
      <c r="V313" s="46">
        <v>0.122455</v>
      </c>
      <c r="W313" s="46">
        <v>0.068916</v>
      </c>
      <c r="X313" s="46">
        <v>0.002053</v>
      </c>
      <c r="Y313" s="46">
        <v>0</v>
      </c>
      <c r="Z313" s="46">
        <v>0</v>
      </c>
      <c r="AA313" s="68">
        <v>313</v>
      </c>
      <c r="AB313" s="68"/>
      <c r="AC313" s="69"/>
      <c r="AD313" s="83" t="s">
        <v>1353</v>
      </c>
      <c r="AE313" s="83"/>
      <c r="AF313" s="83"/>
      <c r="AG313" s="83"/>
      <c r="AH313" s="83"/>
      <c r="AI313" s="83" t="s">
        <v>2391</v>
      </c>
      <c r="AJ313" s="92">
        <v>42951.37736111111</v>
      </c>
      <c r="AK313" s="89" t="str">
        <f>HYPERLINK("https://yt3.ggpht.com/ytc/AGIKgqPxZWMoA4g6XkomB3OO6hrXbBqKHeyKlMt0GlOn=s88-c-k-c0x00ffffff-no-rj")</f>
        <v>https://yt3.ggpht.com/ytc/AGIKgqPxZWMoA4g6XkomB3OO6hrXbBqKHeyKlMt0GlOn=s88-c-k-c0x00ffffff-no-rj</v>
      </c>
      <c r="AL313" s="83">
        <v>0</v>
      </c>
      <c r="AM313" s="83">
        <v>0</v>
      </c>
      <c r="AN313" s="83">
        <v>0</v>
      </c>
      <c r="AO313" s="83" t="b">
        <v>0</v>
      </c>
      <c r="AP313" s="83">
        <v>0</v>
      </c>
      <c r="AQ313" s="83"/>
      <c r="AR313" s="83"/>
      <c r="AS313" s="83" t="s">
        <v>2744</v>
      </c>
      <c r="AT313" s="89" t="str">
        <f>HYPERLINK("https://www.youtube.com/channel/UCNJDdl-gwaLn_3gZOLI24Yg")</f>
        <v>https://www.youtube.com/channel/UCNJDdl-gwaLn_3gZOLI24Yg</v>
      </c>
      <c r="AU313" s="83" t="str">
        <f>REPLACE(INDEX(GroupVertices[Group],MATCH(Vertices[[#This Row],[Vertex]],GroupVertices[Vertex],0)),1,1,"")</f>
        <v>1</v>
      </c>
      <c r="AV313" s="45"/>
      <c r="AW313" s="46"/>
      <c r="AX313" s="45"/>
      <c r="AY313" s="46"/>
      <c r="AZ313" s="45"/>
      <c r="BA313" s="46"/>
      <c r="BB313" s="45"/>
      <c r="BC313" s="46"/>
      <c r="BD313" s="45"/>
      <c r="BE313" s="110" t="s">
        <v>1874</v>
      </c>
      <c r="BF313" s="110" t="s">
        <v>1874</v>
      </c>
      <c r="BG313" s="110" t="s">
        <v>1874</v>
      </c>
      <c r="BH313" s="110" t="s">
        <v>1874</v>
      </c>
      <c r="BI313" s="2"/>
    </row>
    <row r="314" spans="1:61" ht="15">
      <c r="A314" s="61" t="s">
        <v>516</v>
      </c>
      <c r="B314" s="62" t="s">
        <v>2893</v>
      </c>
      <c r="C314" s="62"/>
      <c r="D314" s="63">
        <v>100</v>
      </c>
      <c r="E314" s="65">
        <v>50</v>
      </c>
      <c r="F314" s="100" t="str">
        <f>HYPERLINK("https://yt3.ggpht.com/ytc/AGIKgqNxy7GGm6pD2V1keqPNFKgUdYQFoyPYOKdA8uaopg=s88-c-k-c0x00ffffff-no-rj")</f>
        <v>https://yt3.ggpht.com/ytc/AGIKgqNxy7GGm6pD2V1keqPNFKgUdYQFoyPYOKdA8uaopg=s88-c-k-c0x00ffffff-no-rj</v>
      </c>
      <c r="G314" s="62"/>
      <c r="H314" s="66" t="s">
        <v>1354</v>
      </c>
      <c r="I314" s="67"/>
      <c r="J314" s="67" t="s">
        <v>159</v>
      </c>
      <c r="K314" s="66" t="s">
        <v>1354</v>
      </c>
      <c r="L314" s="70"/>
      <c r="M314" s="71">
        <v>1856.76708984375</v>
      </c>
      <c r="N314" s="71">
        <v>1853.7471923828125</v>
      </c>
      <c r="O314" s="72"/>
      <c r="P314" s="73"/>
      <c r="Q314" s="73"/>
      <c r="R314" s="94"/>
      <c r="S314" s="45">
        <v>0</v>
      </c>
      <c r="T314" s="45">
        <v>1</v>
      </c>
      <c r="U314" s="46">
        <v>0</v>
      </c>
      <c r="V314" s="46">
        <v>0.122455</v>
      </c>
      <c r="W314" s="46">
        <v>0.068916</v>
      </c>
      <c r="X314" s="46">
        <v>0.002053</v>
      </c>
      <c r="Y314" s="46">
        <v>0</v>
      </c>
      <c r="Z314" s="46">
        <v>0</v>
      </c>
      <c r="AA314" s="68">
        <v>314</v>
      </c>
      <c r="AB314" s="68"/>
      <c r="AC314" s="69"/>
      <c r="AD314" s="83" t="s">
        <v>1354</v>
      </c>
      <c r="AE314" s="83" t="s">
        <v>2026</v>
      </c>
      <c r="AF314" s="83"/>
      <c r="AG314" s="83"/>
      <c r="AH314" s="83"/>
      <c r="AI314" s="83" t="s">
        <v>2392</v>
      </c>
      <c r="AJ314" s="92">
        <v>40336.02444444445</v>
      </c>
      <c r="AK314" s="89" t="str">
        <f>HYPERLINK("https://yt3.ggpht.com/ytc/AGIKgqNxy7GGm6pD2V1keqPNFKgUdYQFoyPYOKdA8uaopg=s88-c-k-c0x00ffffff-no-rj")</f>
        <v>https://yt3.ggpht.com/ytc/AGIKgqNxy7GGm6pD2V1keqPNFKgUdYQFoyPYOKdA8uaopg=s88-c-k-c0x00ffffff-no-rj</v>
      </c>
      <c r="AL314" s="83">
        <v>116</v>
      </c>
      <c r="AM314" s="83">
        <v>0</v>
      </c>
      <c r="AN314" s="83">
        <v>26</v>
      </c>
      <c r="AO314" s="83" t="b">
        <v>0</v>
      </c>
      <c r="AP314" s="83">
        <v>2</v>
      </c>
      <c r="AQ314" s="83"/>
      <c r="AR314" s="83"/>
      <c r="AS314" s="83" t="s">
        <v>2744</v>
      </c>
      <c r="AT314" s="89" t="str">
        <f>HYPERLINK("https://www.youtube.com/channel/UCqs2IRNBY00Yhb3n-lxDR3Q")</f>
        <v>https://www.youtube.com/channel/UCqs2IRNBY00Yhb3n-lxDR3Q</v>
      </c>
      <c r="AU314" s="83" t="str">
        <f>REPLACE(INDEX(GroupVertices[Group],MATCH(Vertices[[#This Row],[Vertex]],GroupVertices[Vertex],0)),1,1,"")</f>
        <v>1</v>
      </c>
      <c r="AV314" s="45"/>
      <c r="AW314" s="46"/>
      <c r="AX314" s="45"/>
      <c r="AY314" s="46"/>
      <c r="AZ314" s="45"/>
      <c r="BA314" s="46"/>
      <c r="BB314" s="45"/>
      <c r="BC314" s="46"/>
      <c r="BD314" s="45"/>
      <c r="BE314" s="110" t="s">
        <v>1874</v>
      </c>
      <c r="BF314" s="110" t="s">
        <v>1874</v>
      </c>
      <c r="BG314" s="110" t="s">
        <v>1874</v>
      </c>
      <c r="BH314" s="110" t="s">
        <v>1874</v>
      </c>
      <c r="BI314" s="2"/>
    </row>
    <row r="315" spans="1:61" ht="15">
      <c r="A315" s="61" t="s">
        <v>517</v>
      </c>
      <c r="B315" s="62" t="s">
        <v>2893</v>
      </c>
      <c r="C315" s="62"/>
      <c r="D315" s="63">
        <v>100</v>
      </c>
      <c r="E315" s="65">
        <v>50</v>
      </c>
      <c r="F315" s="100" t="str">
        <f>HYPERLINK("https://yt3.ggpht.com/ytc/AGIKgqN7JDCx_wE7uzIg1fPASq7ibchxMEdT5g3RLcKAqA=s88-c-k-c0x00ffffff-no-rj")</f>
        <v>https://yt3.ggpht.com/ytc/AGIKgqN7JDCx_wE7uzIg1fPASq7ibchxMEdT5g3RLcKAqA=s88-c-k-c0x00ffffff-no-rj</v>
      </c>
      <c r="G315" s="62"/>
      <c r="H315" s="66" t="s">
        <v>1355</v>
      </c>
      <c r="I315" s="67"/>
      <c r="J315" s="67" t="s">
        <v>159</v>
      </c>
      <c r="K315" s="66" t="s">
        <v>1355</v>
      </c>
      <c r="L315" s="70"/>
      <c r="M315" s="71">
        <v>1543.3487548828125</v>
      </c>
      <c r="N315" s="71">
        <v>1853.7471923828125</v>
      </c>
      <c r="O315" s="72"/>
      <c r="P315" s="73"/>
      <c r="Q315" s="73"/>
      <c r="R315" s="94"/>
      <c r="S315" s="45">
        <v>0</v>
      </c>
      <c r="T315" s="45">
        <v>1</v>
      </c>
      <c r="U315" s="46">
        <v>0</v>
      </c>
      <c r="V315" s="46">
        <v>0.122455</v>
      </c>
      <c r="W315" s="46">
        <v>0.068916</v>
      </c>
      <c r="X315" s="46">
        <v>0.002053</v>
      </c>
      <c r="Y315" s="46">
        <v>0</v>
      </c>
      <c r="Z315" s="46">
        <v>0</v>
      </c>
      <c r="AA315" s="68">
        <v>315</v>
      </c>
      <c r="AB315" s="68"/>
      <c r="AC315" s="69"/>
      <c r="AD315" s="83" t="s">
        <v>1355</v>
      </c>
      <c r="AE315" s="83" t="s">
        <v>2027</v>
      </c>
      <c r="AF315" s="83"/>
      <c r="AG315" s="83"/>
      <c r="AH315" s="83"/>
      <c r="AI315" s="83" t="s">
        <v>2393</v>
      </c>
      <c r="AJ315" s="83" t="s">
        <v>2681</v>
      </c>
      <c r="AK315" s="89" t="str">
        <f>HYPERLINK("https://yt3.ggpht.com/ytc/AGIKgqN7JDCx_wE7uzIg1fPASq7ibchxMEdT5g3RLcKAqA=s88-c-k-c0x00ffffff-no-rj")</f>
        <v>https://yt3.ggpht.com/ytc/AGIKgqN7JDCx_wE7uzIg1fPASq7ibchxMEdT5g3RLcKAqA=s88-c-k-c0x00ffffff-no-rj</v>
      </c>
      <c r="AL315" s="83">
        <v>0</v>
      </c>
      <c r="AM315" s="83">
        <v>0</v>
      </c>
      <c r="AN315" s="83">
        <v>1</v>
      </c>
      <c r="AO315" s="83" t="b">
        <v>0</v>
      </c>
      <c r="AP315" s="83">
        <v>0</v>
      </c>
      <c r="AQ315" s="83"/>
      <c r="AR315" s="83"/>
      <c r="AS315" s="83" t="s">
        <v>2744</v>
      </c>
      <c r="AT315" s="89" t="str">
        <f>HYPERLINK("https://www.youtube.com/channel/UCnJOxdh9U6M8F3ibqdotENg")</f>
        <v>https://www.youtube.com/channel/UCnJOxdh9U6M8F3ibqdotENg</v>
      </c>
      <c r="AU315" s="83" t="str">
        <f>REPLACE(INDEX(GroupVertices[Group],MATCH(Vertices[[#This Row],[Vertex]],GroupVertices[Vertex],0)),1,1,"")</f>
        <v>1</v>
      </c>
      <c r="AV315" s="45"/>
      <c r="AW315" s="46"/>
      <c r="AX315" s="45"/>
      <c r="AY315" s="46"/>
      <c r="AZ315" s="45"/>
      <c r="BA315" s="46"/>
      <c r="BB315" s="45"/>
      <c r="BC315" s="46"/>
      <c r="BD315" s="45"/>
      <c r="BE315" s="110" t="s">
        <v>1874</v>
      </c>
      <c r="BF315" s="110" t="s">
        <v>1874</v>
      </c>
      <c r="BG315" s="110" t="s">
        <v>1874</v>
      </c>
      <c r="BH315" s="110" t="s">
        <v>1874</v>
      </c>
      <c r="BI315" s="2"/>
    </row>
    <row r="316" spans="1:61" ht="15">
      <c r="A316" s="61" t="s">
        <v>518</v>
      </c>
      <c r="B316" s="62" t="s">
        <v>2893</v>
      </c>
      <c r="C316" s="62"/>
      <c r="D316" s="63">
        <v>100</v>
      </c>
      <c r="E316" s="65">
        <v>50</v>
      </c>
      <c r="F316" s="100" t="str">
        <f>HYPERLINK("https://yt3.ggpht.com/ytc/AGIKgqPstiZiIOK_buG1unbLBdlJq0ZVpcStNgkNHaGI=s88-c-k-c0x00ffffff-no-rj")</f>
        <v>https://yt3.ggpht.com/ytc/AGIKgqPstiZiIOK_buG1unbLBdlJq0ZVpcStNgkNHaGI=s88-c-k-c0x00ffffff-no-rj</v>
      </c>
      <c r="G316" s="62"/>
      <c r="H316" s="66" t="s">
        <v>1356</v>
      </c>
      <c r="I316" s="67"/>
      <c r="J316" s="67" t="s">
        <v>159</v>
      </c>
      <c r="K316" s="66" t="s">
        <v>1356</v>
      </c>
      <c r="L316" s="70"/>
      <c r="M316" s="71">
        <v>1229.93017578125</v>
      </c>
      <c r="N316" s="71">
        <v>1853.7471923828125</v>
      </c>
      <c r="O316" s="72"/>
      <c r="P316" s="73"/>
      <c r="Q316" s="73"/>
      <c r="R316" s="94"/>
      <c r="S316" s="45">
        <v>0</v>
      </c>
      <c r="T316" s="45">
        <v>1</v>
      </c>
      <c r="U316" s="46">
        <v>0</v>
      </c>
      <c r="V316" s="46">
        <v>0.122455</v>
      </c>
      <c r="W316" s="46">
        <v>0.068916</v>
      </c>
      <c r="X316" s="46">
        <v>0.002053</v>
      </c>
      <c r="Y316" s="46">
        <v>0</v>
      </c>
      <c r="Z316" s="46">
        <v>0</v>
      </c>
      <c r="AA316" s="68">
        <v>316</v>
      </c>
      <c r="AB316" s="68"/>
      <c r="AC316" s="69"/>
      <c r="AD316" s="83" t="s">
        <v>1356</v>
      </c>
      <c r="AE316" s="83"/>
      <c r="AF316" s="83"/>
      <c r="AG316" s="83"/>
      <c r="AH316" s="83"/>
      <c r="AI316" s="83" t="s">
        <v>2394</v>
      </c>
      <c r="AJ316" s="92">
        <v>42675.79755787037</v>
      </c>
      <c r="AK316" s="89" t="str">
        <f>HYPERLINK("https://yt3.ggpht.com/ytc/AGIKgqPstiZiIOK_buG1unbLBdlJq0ZVpcStNgkNHaGI=s88-c-k-c0x00ffffff-no-rj")</f>
        <v>https://yt3.ggpht.com/ytc/AGIKgqPstiZiIOK_buG1unbLBdlJq0ZVpcStNgkNHaGI=s88-c-k-c0x00ffffff-no-rj</v>
      </c>
      <c r="AL316" s="83">
        <v>0</v>
      </c>
      <c r="AM316" s="83">
        <v>0</v>
      </c>
      <c r="AN316" s="83">
        <v>8</v>
      </c>
      <c r="AO316" s="83" t="b">
        <v>0</v>
      </c>
      <c r="AP316" s="83">
        <v>0</v>
      </c>
      <c r="AQ316" s="83"/>
      <c r="AR316" s="83"/>
      <c r="AS316" s="83" t="s">
        <v>2744</v>
      </c>
      <c r="AT316" s="89" t="str">
        <f>HYPERLINK("https://www.youtube.com/channel/UC-IU_nk6SBCCHXrw62-ueOg")</f>
        <v>https://www.youtube.com/channel/UC-IU_nk6SBCCHXrw62-ueOg</v>
      </c>
      <c r="AU316" s="83" t="str">
        <f>REPLACE(INDEX(GroupVertices[Group],MATCH(Vertices[[#This Row],[Vertex]],GroupVertices[Vertex],0)),1,1,"")</f>
        <v>1</v>
      </c>
      <c r="AV316" s="45"/>
      <c r="AW316" s="46"/>
      <c r="AX316" s="45"/>
      <c r="AY316" s="46"/>
      <c r="AZ316" s="45"/>
      <c r="BA316" s="46"/>
      <c r="BB316" s="45"/>
      <c r="BC316" s="46"/>
      <c r="BD316" s="45"/>
      <c r="BE316" s="110" t="s">
        <v>1874</v>
      </c>
      <c r="BF316" s="110" t="s">
        <v>1874</v>
      </c>
      <c r="BG316" s="110" t="s">
        <v>1874</v>
      </c>
      <c r="BH316" s="110" t="s">
        <v>1874</v>
      </c>
      <c r="BI316" s="2"/>
    </row>
    <row r="317" spans="1:61" ht="15">
      <c r="A317" s="61" t="s">
        <v>519</v>
      </c>
      <c r="B317" s="62" t="s">
        <v>2893</v>
      </c>
      <c r="C317" s="62"/>
      <c r="D317" s="63">
        <v>100</v>
      </c>
      <c r="E317" s="65">
        <v>50</v>
      </c>
      <c r="F317" s="100" t="str">
        <f>HYPERLINK("https://yt3.ggpht.com/ytc/AGIKgqMMQx_9gYXTgnbtlHOVP1rhZHJLe_39e1Tr-oDagw=s88-c-k-c0x00ffffff-no-rj")</f>
        <v>https://yt3.ggpht.com/ytc/AGIKgqMMQx_9gYXTgnbtlHOVP1rhZHJLe_39e1Tr-oDagw=s88-c-k-c0x00ffffff-no-rj</v>
      </c>
      <c r="G317" s="62"/>
      <c r="H317" s="66" t="s">
        <v>1357</v>
      </c>
      <c r="I317" s="67"/>
      <c r="J317" s="67" t="s">
        <v>159</v>
      </c>
      <c r="K317" s="66" t="s">
        <v>1357</v>
      </c>
      <c r="L317" s="70"/>
      <c r="M317" s="71">
        <v>916.51171875</v>
      </c>
      <c r="N317" s="71">
        <v>1853.7471923828125</v>
      </c>
      <c r="O317" s="72"/>
      <c r="P317" s="73"/>
      <c r="Q317" s="73"/>
      <c r="R317" s="94"/>
      <c r="S317" s="45">
        <v>0</v>
      </c>
      <c r="T317" s="45">
        <v>1</v>
      </c>
      <c r="U317" s="46">
        <v>0</v>
      </c>
      <c r="V317" s="46">
        <v>0.122455</v>
      </c>
      <c r="W317" s="46">
        <v>0.068916</v>
      </c>
      <c r="X317" s="46">
        <v>0.002053</v>
      </c>
      <c r="Y317" s="46">
        <v>0</v>
      </c>
      <c r="Z317" s="46">
        <v>0</v>
      </c>
      <c r="AA317" s="68">
        <v>317</v>
      </c>
      <c r="AB317" s="68"/>
      <c r="AC317" s="69"/>
      <c r="AD317" s="83" t="s">
        <v>1357</v>
      </c>
      <c r="AE317" s="83"/>
      <c r="AF317" s="83"/>
      <c r="AG317" s="83"/>
      <c r="AH317" s="83"/>
      <c r="AI317" s="83" t="s">
        <v>2395</v>
      </c>
      <c r="AJ317" s="92">
        <v>42315.79976851852</v>
      </c>
      <c r="AK317" s="89" t="str">
        <f>HYPERLINK("https://yt3.ggpht.com/ytc/AGIKgqMMQx_9gYXTgnbtlHOVP1rhZHJLe_39e1Tr-oDagw=s88-c-k-c0x00ffffff-no-rj")</f>
        <v>https://yt3.ggpht.com/ytc/AGIKgqMMQx_9gYXTgnbtlHOVP1rhZHJLe_39e1Tr-oDagw=s88-c-k-c0x00ffffff-no-rj</v>
      </c>
      <c r="AL317" s="83">
        <v>0</v>
      </c>
      <c r="AM317" s="83">
        <v>0</v>
      </c>
      <c r="AN317" s="83">
        <v>20</v>
      </c>
      <c r="AO317" s="83" t="b">
        <v>0</v>
      </c>
      <c r="AP317" s="83">
        <v>0</v>
      </c>
      <c r="AQ317" s="83"/>
      <c r="AR317" s="83"/>
      <c r="AS317" s="83" t="s">
        <v>2744</v>
      </c>
      <c r="AT317" s="89" t="str">
        <f>HYPERLINK("https://www.youtube.com/channel/UCwYanttysUnCQjanU4pZAuQ")</f>
        <v>https://www.youtube.com/channel/UCwYanttysUnCQjanU4pZAuQ</v>
      </c>
      <c r="AU317" s="83" t="str">
        <f>REPLACE(INDEX(GroupVertices[Group],MATCH(Vertices[[#This Row],[Vertex]],GroupVertices[Vertex],0)),1,1,"")</f>
        <v>1</v>
      </c>
      <c r="AV317" s="45"/>
      <c r="AW317" s="46"/>
      <c r="AX317" s="45"/>
      <c r="AY317" s="46"/>
      <c r="AZ317" s="45"/>
      <c r="BA317" s="46"/>
      <c r="BB317" s="45"/>
      <c r="BC317" s="46"/>
      <c r="BD317" s="45"/>
      <c r="BE317" s="110" t="s">
        <v>1874</v>
      </c>
      <c r="BF317" s="110" t="s">
        <v>1874</v>
      </c>
      <c r="BG317" s="110" t="s">
        <v>1874</v>
      </c>
      <c r="BH317" s="110" t="s">
        <v>1874</v>
      </c>
      <c r="BI317" s="2"/>
    </row>
    <row r="318" spans="1:61" ht="15">
      <c r="A318" s="61" t="s">
        <v>520</v>
      </c>
      <c r="B318" s="62" t="s">
        <v>2893</v>
      </c>
      <c r="C318" s="62"/>
      <c r="D318" s="63">
        <v>100</v>
      </c>
      <c r="E318" s="65">
        <v>50</v>
      </c>
      <c r="F318" s="100" t="str">
        <f>HYPERLINK("https://yt3.ggpht.com/ytc/AGIKgqNXBVamgfQSBdor70OBPlZ6j8X0J1xziErDJzg-MqlOrNceMwaPop841nIS9lEf=s88-c-k-c0x00ffffff-no-rj")</f>
        <v>https://yt3.ggpht.com/ytc/AGIKgqNXBVamgfQSBdor70OBPlZ6j8X0J1xziErDJzg-MqlOrNceMwaPop841nIS9lEf=s88-c-k-c0x00ffffff-no-rj</v>
      </c>
      <c r="G318" s="62"/>
      <c r="H318" s="66" t="s">
        <v>1358</v>
      </c>
      <c r="I318" s="67"/>
      <c r="J318" s="67" t="s">
        <v>159</v>
      </c>
      <c r="K318" s="66" t="s">
        <v>1358</v>
      </c>
      <c r="L318" s="70"/>
      <c r="M318" s="71">
        <v>603.0931396484375</v>
      </c>
      <c r="N318" s="71">
        <v>1853.7471923828125</v>
      </c>
      <c r="O318" s="72"/>
      <c r="P318" s="73"/>
      <c r="Q318" s="73"/>
      <c r="R318" s="94"/>
      <c r="S318" s="45">
        <v>0</v>
      </c>
      <c r="T318" s="45">
        <v>1</v>
      </c>
      <c r="U318" s="46">
        <v>0</v>
      </c>
      <c r="V318" s="46">
        <v>0.122455</v>
      </c>
      <c r="W318" s="46">
        <v>0.068916</v>
      </c>
      <c r="X318" s="46">
        <v>0.002053</v>
      </c>
      <c r="Y318" s="46">
        <v>0</v>
      </c>
      <c r="Z318" s="46">
        <v>0</v>
      </c>
      <c r="AA318" s="68">
        <v>318</v>
      </c>
      <c r="AB318" s="68"/>
      <c r="AC318" s="69"/>
      <c r="AD318" s="83" t="s">
        <v>1358</v>
      </c>
      <c r="AE318" s="83"/>
      <c r="AF318" s="83"/>
      <c r="AG318" s="83"/>
      <c r="AH318" s="83"/>
      <c r="AI318" s="83" t="s">
        <v>2396</v>
      </c>
      <c r="AJ318" s="83" t="s">
        <v>2682</v>
      </c>
      <c r="AK318" s="89" t="str">
        <f>HYPERLINK("https://yt3.ggpht.com/ytc/AGIKgqNXBVamgfQSBdor70OBPlZ6j8X0J1xziErDJzg-MqlOrNceMwaPop841nIS9lEf=s88-c-k-c0x00ffffff-no-rj")</f>
        <v>https://yt3.ggpht.com/ytc/AGIKgqNXBVamgfQSBdor70OBPlZ6j8X0J1xziErDJzg-MqlOrNceMwaPop841nIS9lEf=s88-c-k-c0x00ffffff-no-rj</v>
      </c>
      <c r="AL318" s="83">
        <v>0</v>
      </c>
      <c r="AM318" s="83">
        <v>0</v>
      </c>
      <c r="AN318" s="83">
        <v>1</v>
      </c>
      <c r="AO318" s="83" t="b">
        <v>0</v>
      </c>
      <c r="AP318" s="83">
        <v>0</v>
      </c>
      <c r="AQ318" s="83"/>
      <c r="AR318" s="83"/>
      <c r="AS318" s="83" t="s">
        <v>2744</v>
      </c>
      <c r="AT318" s="89" t="str">
        <f>HYPERLINK("https://www.youtube.com/channel/UCTVqbHSHONbBLNOgfXh9LvA")</f>
        <v>https://www.youtube.com/channel/UCTVqbHSHONbBLNOgfXh9LvA</v>
      </c>
      <c r="AU318" s="83" t="str">
        <f>REPLACE(INDEX(GroupVertices[Group],MATCH(Vertices[[#This Row],[Vertex]],GroupVertices[Vertex],0)),1,1,"")</f>
        <v>1</v>
      </c>
      <c r="AV318" s="45"/>
      <c r="AW318" s="46"/>
      <c r="AX318" s="45"/>
      <c r="AY318" s="46"/>
      <c r="AZ318" s="45"/>
      <c r="BA318" s="46"/>
      <c r="BB318" s="45"/>
      <c r="BC318" s="46"/>
      <c r="BD318" s="45"/>
      <c r="BE318" s="110" t="s">
        <v>1874</v>
      </c>
      <c r="BF318" s="110" t="s">
        <v>1874</v>
      </c>
      <c r="BG318" s="110" t="s">
        <v>1874</v>
      </c>
      <c r="BH318" s="110" t="s">
        <v>1874</v>
      </c>
      <c r="BI318" s="2"/>
    </row>
    <row r="319" spans="1:61" ht="15">
      <c r="A319" s="61" t="s">
        <v>521</v>
      </c>
      <c r="B319" s="62" t="s">
        <v>2893</v>
      </c>
      <c r="C319" s="62"/>
      <c r="D319" s="63">
        <v>100</v>
      </c>
      <c r="E319" s="65">
        <v>50</v>
      </c>
      <c r="F319" s="100" t="str">
        <f>HYPERLINK("https://yt3.ggpht.com/ytc/AGIKgqPUC8PPk8B3vsrbtseSXK4MWOrQi88pVqpToFXMAw=s88-c-k-c0x00ffffff-no-rj")</f>
        <v>https://yt3.ggpht.com/ytc/AGIKgqPUC8PPk8B3vsrbtseSXK4MWOrQi88pVqpToFXMAw=s88-c-k-c0x00ffffff-no-rj</v>
      </c>
      <c r="G319" s="62"/>
      <c r="H319" s="66" t="s">
        <v>1359</v>
      </c>
      <c r="I319" s="67"/>
      <c r="J319" s="67" t="s">
        <v>159</v>
      </c>
      <c r="K319" s="66" t="s">
        <v>1359</v>
      </c>
      <c r="L319" s="70"/>
      <c r="M319" s="71">
        <v>289.6746826171875</v>
      </c>
      <c r="N319" s="71">
        <v>1853.7471923828125</v>
      </c>
      <c r="O319" s="72"/>
      <c r="P319" s="73"/>
      <c r="Q319" s="73"/>
      <c r="R319" s="94"/>
      <c r="S319" s="45">
        <v>0</v>
      </c>
      <c r="T319" s="45">
        <v>1</v>
      </c>
      <c r="U319" s="46">
        <v>0</v>
      </c>
      <c r="V319" s="46">
        <v>0.122455</v>
      </c>
      <c r="W319" s="46">
        <v>0.068916</v>
      </c>
      <c r="X319" s="46">
        <v>0.002053</v>
      </c>
      <c r="Y319" s="46">
        <v>0</v>
      </c>
      <c r="Z319" s="46">
        <v>0</v>
      </c>
      <c r="AA319" s="68">
        <v>319</v>
      </c>
      <c r="AB319" s="68"/>
      <c r="AC319" s="69"/>
      <c r="AD319" s="83" t="s">
        <v>1359</v>
      </c>
      <c r="AE319" s="83"/>
      <c r="AF319" s="83"/>
      <c r="AG319" s="83"/>
      <c r="AH319" s="83"/>
      <c r="AI319" s="83" t="s">
        <v>2397</v>
      </c>
      <c r="AJ319" s="83" t="s">
        <v>2683</v>
      </c>
      <c r="AK319" s="89" t="str">
        <f>HYPERLINK("https://yt3.ggpht.com/ytc/AGIKgqPUC8PPk8B3vsrbtseSXK4MWOrQi88pVqpToFXMAw=s88-c-k-c0x00ffffff-no-rj")</f>
        <v>https://yt3.ggpht.com/ytc/AGIKgqPUC8PPk8B3vsrbtseSXK4MWOrQi88pVqpToFXMAw=s88-c-k-c0x00ffffff-no-rj</v>
      </c>
      <c r="AL319" s="83">
        <v>62</v>
      </c>
      <c r="AM319" s="83">
        <v>0</v>
      </c>
      <c r="AN319" s="83">
        <v>0</v>
      </c>
      <c r="AO319" s="83" t="b">
        <v>0</v>
      </c>
      <c r="AP319" s="83">
        <v>2</v>
      </c>
      <c r="AQ319" s="83"/>
      <c r="AR319" s="83"/>
      <c r="AS319" s="83" t="s">
        <v>2744</v>
      </c>
      <c r="AT319" s="89" t="str">
        <f>HYPERLINK("https://www.youtube.com/channel/UCaOB3gXheV8mJJBBlW4Ejlw")</f>
        <v>https://www.youtube.com/channel/UCaOB3gXheV8mJJBBlW4Ejlw</v>
      </c>
      <c r="AU319" s="83" t="str">
        <f>REPLACE(INDEX(GroupVertices[Group],MATCH(Vertices[[#This Row],[Vertex]],GroupVertices[Vertex],0)),1,1,"")</f>
        <v>1</v>
      </c>
      <c r="AV319" s="45"/>
      <c r="AW319" s="46"/>
      <c r="AX319" s="45"/>
      <c r="AY319" s="46"/>
      <c r="AZ319" s="45"/>
      <c r="BA319" s="46"/>
      <c r="BB319" s="45"/>
      <c r="BC319" s="46"/>
      <c r="BD319" s="45"/>
      <c r="BE319" s="110" t="s">
        <v>1874</v>
      </c>
      <c r="BF319" s="110" t="s">
        <v>1874</v>
      </c>
      <c r="BG319" s="110" t="s">
        <v>1874</v>
      </c>
      <c r="BH319" s="110" t="s">
        <v>1874</v>
      </c>
      <c r="BI319" s="2"/>
    </row>
    <row r="320" spans="1:61" ht="15">
      <c r="A320" s="61" t="s">
        <v>522</v>
      </c>
      <c r="B320" s="62" t="s">
        <v>2893</v>
      </c>
      <c r="C320" s="62"/>
      <c r="D320" s="63">
        <v>100</v>
      </c>
      <c r="E320" s="65">
        <v>50</v>
      </c>
      <c r="F320" s="100" t="str">
        <f>HYPERLINK("https://yt3.ggpht.com/ytc/AGIKgqM0tb3sPm0TU9l6ALpd_2RXX36oE3CTlwNZbmibtw=s88-c-k-c0x00ffffff-no-rj")</f>
        <v>https://yt3.ggpht.com/ytc/AGIKgqM0tb3sPm0TU9l6ALpd_2RXX36oE3CTlwNZbmibtw=s88-c-k-c0x00ffffff-no-rj</v>
      </c>
      <c r="G320" s="62"/>
      <c r="H320" s="66" t="s">
        <v>1360</v>
      </c>
      <c r="I320" s="67"/>
      <c r="J320" s="67" t="s">
        <v>159</v>
      </c>
      <c r="K320" s="66" t="s">
        <v>1360</v>
      </c>
      <c r="L320" s="70"/>
      <c r="M320" s="71">
        <v>2170.185791015625</v>
      </c>
      <c r="N320" s="71">
        <v>2482.897705078125</v>
      </c>
      <c r="O320" s="72"/>
      <c r="P320" s="73"/>
      <c r="Q320" s="73"/>
      <c r="R320" s="94"/>
      <c r="S320" s="45">
        <v>0</v>
      </c>
      <c r="T320" s="45">
        <v>1</v>
      </c>
      <c r="U320" s="46">
        <v>0</v>
      </c>
      <c r="V320" s="46">
        <v>0.122455</v>
      </c>
      <c r="W320" s="46">
        <v>0.068916</v>
      </c>
      <c r="X320" s="46">
        <v>0.002053</v>
      </c>
      <c r="Y320" s="46">
        <v>0</v>
      </c>
      <c r="Z320" s="46">
        <v>0</v>
      </c>
      <c r="AA320" s="68">
        <v>320</v>
      </c>
      <c r="AB320" s="68"/>
      <c r="AC320" s="69"/>
      <c r="AD320" s="83" t="s">
        <v>1360</v>
      </c>
      <c r="AE320" s="83"/>
      <c r="AF320" s="83"/>
      <c r="AG320" s="83"/>
      <c r="AH320" s="83"/>
      <c r="AI320" s="83" t="s">
        <v>2398</v>
      </c>
      <c r="AJ320" s="92">
        <v>42106.51335648148</v>
      </c>
      <c r="AK320" s="89" t="str">
        <f>HYPERLINK("https://yt3.ggpht.com/ytc/AGIKgqM0tb3sPm0TU9l6ALpd_2RXX36oE3CTlwNZbmibtw=s88-c-k-c0x00ffffff-no-rj")</f>
        <v>https://yt3.ggpht.com/ytc/AGIKgqM0tb3sPm0TU9l6ALpd_2RXX36oE3CTlwNZbmibtw=s88-c-k-c0x00ffffff-no-rj</v>
      </c>
      <c r="AL320" s="83">
        <v>33</v>
      </c>
      <c r="AM320" s="83">
        <v>0</v>
      </c>
      <c r="AN320" s="83">
        <v>2</v>
      </c>
      <c r="AO320" s="83" t="b">
        <v>0</v>
      </c>
      <c r="AP320" s="83">
        <v>1</v>
      </c>
      <c r="AQ320" s="83"/>
      <c r="AR320" s="83"/>
      <c r="AS320" s="83" t="s">
        <v>2744</v>
      </c>
      <c r="AT320" s="89" t="str">
        <f>HYPERLINK("https://www.youtube.com/channel/UCBuKzEJfU-dwjJ-a95Oce1w")</f>
        <v>https://www.youtube.com/channel/UCBuKzEJfU-dwjJ-a95Oce1w</v>
      </c>
      <c r="AU320" s="83" t="str">
        <f>REPLACE(INDEX(GroupVertices[Group],MATCH(Vertices[[#This Row],[Vertex]],GroupVertices[Vertex],0)),1,1,"")</f>
        <v>1</v>
      </c>
      <c r="AV320" s="45"/>
      <c r="AW320" s="46"/>
      <c r="AX320" s="45"/>
      <c r="AY320" s="46"/>
      <c r="AZ320" s="45"/>
      <c r="BA320" s="46"/>
      <c r="BB320" s="45"/>
      <c r="BC320" s="46"/>
      <c r="BD320" s="45"/>
      <c r="BE320" s="110" t="s">
        <v>1874</v>
      </c>
      <c r="BF320" s="110" t="s">
        <v>1874</v>
      </c>
      <c r="BG320" s="110" t="s">
        <v>1874</v>
      </c>
      <c r="BH320" s="110" t="s">
        <v>1874</v>
      </c>
      <c r="BI320" s="2"/>
    </row>
    <row r="321" spans="1:61" ht="15">
      <c r="A321" s="61" t="s">
        <v>523</v>
      </c>
      <c r="B321" s="62" t="s">
        <v>2893</v>
      </c>
      <c r="C321" s="62"/>
      <c r="D321" s="63">
        <v>100</v>
      </c>
      <c r="E321" s="65">
        <v>50</v>
      </c>
      <c r="F321" s="100" t="str">
        <f>HYPERLINK("https://yt3.ggpht.com/efV3dt2TLa6_6TvYIt3elT5b-O_riP0aQ0EmvP_1oY9uWErJ5RQojTULVN_cW5-ci0chkhvl=s88-c-k-c0x00ffffff-no-rj")</f>
        <v>https://yt3.ggpht.com/efV3dt2TLa6_6TvYIt3elT5b-O_riP0aQ0EmvP_1oY9uWErJ5RQojTULVN_cW5-ci0chkhvl=s88-c-k-c0x00ffffff-no-rj</v>
      </c>
      <c r="G321" s="62"/>
      <c r="H321" s="66" t="s">
        <v>1361</v>
      </c>
      <c r="I321" s="67"/>
      <c r="J321" s="67" t="s">
        <v>159</v>
      </c>
      <c r="K321" s="66" t="s">
        <v>1361</v>
      </c>
      <c r="L321" s="70"/>
      <c r="M321" s="71">
        <v>1856.76708984375</v>
      </c>
      <c r="N321" s="71">
        <v>2482.897705078125</v>
      </c>
      <c r="O321" s="72"/>
      <c r="P321" s="73"/>
      <c r="Q321" s="73"/>
      <c r="R321" s="94"/>
      <c r="S321" s="45">
        <v>0</v>
      </c>
      <c r="T321" s="45">
        <v>1</v>
      </c>
      <c r="U321" s="46">
        <v>0</v>
      </c>
      <c r="V321" s="46">
        <v>0.122455</v>
      </c>
      <c r="W321" s="46">
        <v>0.068916</v>
      </c>
      <c r="X321" s="46">
        <v>0.002053</v>
      </c>
      <c r="Y321" s="46">
        <v>0</v>
      </c>
      <c r="Z321" s="46">
        <v>0</v>
      </c>
      <c r="AA321" s="68">
        <v>321</v>
      </c>
      <c r="AB321" s="68"/>
      <c r="AC321" s="69"/>
      <c r="AD321" s="83" t="s">
        <v>1361</v>
      </c>
      <c r="AE321" s="83"/>
      <c r="AF321" s="83"/>
      <c r="AG321" s="83"/>
      <c r="AH321" s="83"/>
      <c r="AI321" s="83" t="s">
        <v>2399</v>
      </c>
      <c r="AJ321" s="83" t="s">
        <v>2684</v>
      </c>
      <c r="AK321" s="89" t="str">
        <f>HYPERLINK("https://yt3.ggpht.com/efV3dt2TLa6_6TvYIt3elT5b-O_riP0aQ0EmvP_1oY9uWErJ5RQojTULVN_cW5-ci0chkhvl=s88-c-k-c0x00ffffff-no-rj")</f>
        <v>https://yt3.ggpht.com/efV3dt2TLa6_6TvYIt3elT5b-O_riP0aQ0EmvP_1oY9uWErJ5RQojTULVN_cW5-ci0chkhvl=s88-c-k-c0x00ffffff-no-rj</v>
      </c>
      <c r="AL321" s="83">
        <v>0</v>
      </c>
      <c r="AM321" s="83">
        <v>0</v>
      </c>
      <c r="AN321" s="83">
        <v>22</v>
      </c>
      <c r="AO321" s="83" t="b">
        <v>0</v>
      </c>
      <c r="AP321" s="83">
        <v>0</v>
      </c>
      <c r="AQ321" s="83"/>
      <c r="AR321" s="83"/>
      <c r="AS321" s="83" t="s">
        <v>2744</v>
      </c>
      <c r="AT321" s="89" t="str">
        <f>HYPERLINK("https://www.youtube.com/channel/UCEXmDqJvYC_RgnVp7AuLWWQ")</f>
        <v>https://www.youtube.com/channel/UCEXmDqJvYC_RgnVp7AuLWWQ</v>
      </c>
      <c r="AU321" s="83" t="str">
        <f>REPLACE(INDEX(GroupVertices[Group],MATCH(Vertices[[#This Row],[Vertex]],GroupVertices[Vertex],0)),1,1,"")</f>
        <v>1</v>
      </c>
      <c r="AV321" s="45"/>
      <c r="AW321" s="46"/>
      <c r="AX321" s="45"/>
      <c r="AY321" s="46"/>
      <c r="AZ321" s="45"/>
      <c r="BA321" s="46"/>
      <c r="BB321" s="45"/>
      <c r="BC321" s="46"/>
      <c r="BD321" s="45"/>
      <c r="BE321" s="110" t="s">
        <v>1874</v>
      </c>
      <c r="BF321" s="110" t="s">
        <v>1874</v>
      </c>
      <c r="BG321" s="110" t="s">
        <v>1874</v>
      </c>
      <c r="BH321" s="110" t="s">
        <v>1874</v>
      </c>
      <c r="BI321" s="2"/>
    </row>
    <row r="322" spans="1:61" ht="15">
      <c r="A322" s="61" t="s">
        <v>524</v>
      </c>
      <c r="B322" s="62" t="s">
        <v>2893</v>
      </c>
      <c r="C322" s="62"/>
      <c r="D322" s="63">
        <v>100</v>
      </c>
      <c r="E322" s="65">
        <v>50</v>
      </c>
      <c r="F322" s="100" t="str">
        <f>HYPERLINK("https://yt3.ggpht.com/ytc/AGIKgqNeL2APv3pFd28IaKgPT7i49Sd7n7PkYtnM4Q=s88-c-k-c0x00ffffff-no-rj")</f>
        <v>https://yt3.ggpht.com/ytc/AGIKgqNeL2APv3pFd28IaKgPT7i49Sd7n7PkYtnM4Q=s88-c-k-c0x00ffffff-no-rj</v>
      </c>
      <c r="G322" s="62"/>
      <c r="H322" s="66" t="s">
        <v>1362</v>
      </c>
      <c r="I322" s="67"/>
      <c r="J322" s="67" t="s">
        <v>159</v>
      </c>
      <c r="K322" s="66" t="s">
        <v>1362</v>
      </c>
      <c r="L322" s="70"/>
      <c r="M322" s="71">
        <v>1543.3487548828125</v>
      </c>
      <c r="N322" s="71">
        <v>2482.897705078125</v>
      </c>
      <c r="O322" s="72"/>
      <c r="P322" s="73"/>
      <c r="Q322" s="73"/>
      <c r="R322" s="94"/>
      <c r="S322" s="45">
        <v>0</v>
      </c>
      <c r="T322" s="45">
        <v>1</v>
      </c>
      <c r="U322" s="46">
        <v>0</v>
      </c>
      <c r="V322" s="46">
        <v>0.122455</v>
      </c>
      <c r="W322" s="46">
        <v>0.068916</v>
      </c>
      <c r="X322" s="46">
        <v>0.002053</v>
      </c>
      <c r="Y322" s="46">
        <v>0</v>
      </c>
      <c r="Z322" s="46">
        <v>0</v>
      </c>
      <c r="AA322" s="68">
        <v>322</v>
      </c>
      <c r="AB322" s="68"/>
      <c r="AC322" s="69"/>
      <c r="AD322" s="83" t="s">
        <v>1362</v>
      </c>
      <c r="AE322" s="83"/>
      <c r="AF322" s="83"/>
      <c r="AG322" s="83"/>
      <c r="AH322" s="83"/>
      <c r="AI322" s="83" t="s">
        <v>2400</v>
      </c>
      <c r="AJ322" s="92">
        <v>39911.42818287037</v>
      </c>
      <c r="AK322" s="89" t="str">
        <f>HYPERLINK("https://yt3.ggpht.com/ytc/AGIKgqNeL2APv3pFd28IaKgPT7i49Sd7n7PkYtnM4Q=s88-c-k-c0x00ffffff-no-rj")</f>
        <v>https://yt3.ggpht.com/ytc/AGIKgqNeL2APv3pFd28IaKgPT7i49Sd7n7PkYtnM4Q=s88-c-k-c0x00ffffff-no-rj</v>
      </c>
      <c r="AL322" s="83">
        <v>0</v>
      </c>
      <c r="AM322" s="83">
        <v>0</v>
      </c>
      <c r="AN322" s="83">
        <v>0</v>
      </c>
      <c r="AO322" s="83" t="b">
        <v>0</v>
      </c>
      <c r="AP322" s="83">
        <v>0</v>
      </c>
      <c r="AQ322" s="83"/>
      <c r="AR322" s="83"/>
      <c r="AS322" s="83" t="s">
        <v>2744</v>
      </c>
      <c r="AT322" s="89" t="str">
        <f>HYPERLINK("https://www.youtube.com/channel/UCfyuzGbP0p6NT9yBIYbCoxQ")</f>
        <v>https://www.youtube.com/channel/UCfyuzGbP0p6NT9yBIYbCoxQ</v>
      </c>
      <c r="AU322" s="83" t="str">
        <f>REPLACE(INDEX(GroupVertices[Group],MATCH(Vertices[[#This Row],[Vertex]],GroupVertices[Vertex],0)),1,1,"")</f>
        <v>1</v>
      </c>
      <c r="AV322" s="45"/>
      <c r="AW322" s="46"/>
      <c r="AX322" s="45"/>
      <c r="AY322" s="46"/>
      <c r="AZ322" s="45"/>
      <c r="BA322" s="46"/>
      <c r="BB322" s="45"/>
      <c r="BC322" s="46"/>
      <c r="BD322" s="45"/>
      <c r="BE322" s="110" t="s">
        <v>1874</v>
      </c>
      <c r="BF322" s="110" t="s">
        <v>1874</v>
      </c>
      <c r="BG322" s="110" t="s">
        <v>1874</v>
      </c>
      <c r="BH322" s="110" t="s">
        <v>1874</v>
      </c>
      <c r="BI322" s="2"/>
    </row>
    <row r="323" spans="1:61" ht="15">
      <c r="A323" s="61" t="s">
        <v>525</v>
      </c>
      <c r="B323" s="62" t="s">
        <v>2893</v>
      </c>
      <c r="C323" s="62"/>
      <c r="D323" s="63">
        <v>100</v>
      </c>
      <c r="E323" s="65">
        <v>50</v>
      </c>
      <c r="F323" s="100" t="str">
        <f>HYPERLINK("https://yt3.ggpht.com/ytc/AGIKgqN8nyq9oiyaMRzOulyA58F7V2dxq0k__2Z_dA=s88-c-k-c0x00ffffff-no-rj")</f>
        <v>https://yt3.ggpht.com/ytc/AGIKgqN8nyq9oiyaMRzOulyA58F7V2dxq0k__2Z_dA=s88-c-k-c0x00ffffff-no-rj</v>
      </c>
      <c r="G323" s="62"/>
      <c r="H323" s="66" t="s">
        <v>1363</v>
      </c>
      <c r="I323" s="67"/>
      <c r="J323" s="67" t="s">
        <v>159</v>
      </c>
      <c r="K323" s="66" t="s">
        <v>1363</v>
      </c>
      <c r="L323" s="70"/>
      <c r="M323" s="71">
        <v>1229.93017578125</v>
      </c>
      <c r="N323" s="71">
        <v>2482.897705078125</v>
      </c>
      <c r="O323" s="72"/>
      <c r="P323" s="73"/>
      <c r="Q323" s="73"/>
      <c r="R323" s="94"/>
      <c r="S323" s="45">
        <v>0</v>
      </c>
      <c r="T323" s="45">
        <v>1</v>
      </c>
      <c r="U323" s="46">
        <v>0</v>
      </c>
      <c r="V323" s="46">
        <v>0.122455</v>
      </c>
      <c r="W323" s="46">
        <v>0.068916</v>
      </c>
      <c r="X323" s="46">
        <v>0.002053</v>
      </c>
      <c r="Y323" s="46">
        <v>0</v>
      </c>
      <c r="Z323" s="46">
        <v>0</v>
      </c>
      <c r="AA323" s="68">
        <v>323</v>
      </c>
      <c r="AB323" s="68"/>
      <c r="AC323" s="69"/>
      <c r="AD323" s="83" t="s">
        <v>1363</v>
      </c>
      <c r="AE323" s="83"/>
      <c r="AF323" s="83"/>
      <c r="AG323" s="83"/>
      <c r="AH323" s="83"/>
      <c r="AI323" s="83" t="s">
        <v>2401</v>
      </c>
      <c r="AJ323" s="83" t="s">
        <v>2685</v>
      </c>
      <c r="AK323" s="89" t="str">
        <f>HYPERLINK("https://yt3.ggpht.com/ytc/AGIKgqN8nyq9oiyaMRzOulyA58F7V2dxq0k__2Z_dA=s88-c-k-c0x00ffffff-no-rj")</f>
        <v>https://yt3.ggpht.com/ytc/AGIKgqN8nyq9oiyaMRzOulyA58F7V2dxq0k__2Z_dA=s88-c-k-c0x00ffffff-no-rj</v>
      </c>
      <c r="AL323" s="83">
        <v>0</v>
      </c>
      <c r="AM323" s="83">
        <v>0</v>
      </c>
      <c r="AN323" s="83">
        <v>1</v>
      </c>
      <c r="AO323" s="83" t="b">
        <v>0</v>
      </c>
      <c r="AP323" s="83">
        <v>0</v>
      </c>
      <c r="AQ323" s="83"/>
      <c r="AR323" s="83"/>
      <c r="AS323" s="83" t="s">
        <v>2744</v>
      </c>
      <c r="AT323" s="89" t="str">
        <f>HYPERLINK("https://www.youtube.com/channel/UCF0UVK4yc7X4wiN6m64vcxA")</f>
        <v>https://www.youtube.com/channel/UCF0UVK4yc7X4wiN6m64vcxA</v>
      </c>
      <c r="AU323" s="83" t="str">
        <f>REPLACE(INDEX(GroupVertices[Group],MATCH(Vertices[[#This Row],[Vertex]],GroupVertices[Vertex],0)),1,1,"")</f>
        <v>1</v>
      </c>
      <c r="AV323" s="45"/>
      <c r="AW323" s="46"/>
      <c r="AX323" s="45"/>
      <c r="AY323" s="46"/>
      <c r="AZ323" s="45"/>
      <c r="BA323" s="46"/>
      <c r="BB323" s="45"/>
      <c r="BC323" s="46"/>
      <c r="BD323" s="45"/>
      <c r="BE323" s="110" t="s">
        <v>1874</v>
      </c>
      <c r="BF323" s="110" t="s">
        <v>1874</v>
      </c>
      <c r="BG323" s="110" t="s">
        <v>1874</v>
      </c>
      <c r="BH323" s="110" t="s">
        <v>1874</v>
      </c>
      <c r="BI323" s="2"/>
    </row>
    <row r="324" spans="1:61" ht="15">
      <c r="A324" s="61" t="s">
        <v>526</v>
      </c>
      <c r="B324" s="62" t="s">
        <v>2893</v>
      </c>
      <c r="C324" s="62"/>
      <c r="D324" s="63">
        <v>100</v>
      </c>
      <c r="E324" s="65">
        <v>50</v>
      </c>
      <c r="F324" s="100" t="str">
        <f>HYPERLINK("https://yt3.ggpht.com/ytc/AGIKgqM6wNPnHq9TyEkU1UcxpTqshOsvMSCR-GHrlOnH9g=s88-c-k-c0x00ffffff-no-rj")</f>
        <v>https://yt3.ggpht.com/ytc/AGIKgqM6wNPnHq9TyEkU1UcxpTqshOsvMSCR-GHrlOnH9g=s88-c-k-c0x00ffffff-no-rj</v>
      </c>
      <c r="G324" s="62"/>
      <c r="H324" s="66" t="s">
        <v>1364</v>
      </c>
      <c r="I324" s="67"/>
      <c r="J324" s="67" t="s">
        <v>159</v>
      </c>
      <c r="K324" s="66" t="s">
        <v>1364</v>
      </c>
      <c r="L324" s="70"/>
      <c r="M324" s="71">
        <v>916.51171875</v>
      </c>
      <c r="N324" s="71">
        <v>2482.897705078125</v>
      </c>
      <c r="O324" s="72"/>
      <c r="P324" s="73"/>
      <c r="Q324" s="73"/>
      <c r="R324" s="94"/>
      <c r="S324" s="45">
        <v>0</v>
      </c>
      <c r="T324" s="45">
        <v>1</v>
      </c>
      <c r="U324" s="46">
        <v>0</v>
      </c>
      <c r="V324" s="46">
        <v>0.122455</v>
      </c>
      <c r="W324" s="46">
        <v>0.068916</v>
      </c>
      <c r="X324" s="46">
        <v>0.002053</v>
      </c>
      <c r="Y324" s="46">
        <v>0</v>
      </c>
      <c r="Z324" s="46">
        <v>0</v>
      </c>
      <c r="AA324" s="68">
        <v>324</v>
      </c>
      <c r="AB324" s="68"/>
      <c r="AC324" s="69"/>
      <c r="AD324" s="83" t="s">
        <v>1364</v>
      </c>
      <c r="AE324" s="83" t="s">
        <v>2028</v>
      </c>
      <c r="AF324" s="83"/>
      <c r="AG324" s="83"/>
      <c r="AH324" s="83"/>
      <c r="AI324" s="83" t="s">
        <v>2402</v>
      </c>
      <c r="AJ324" s="92">
        <v>40796.98740740741</v>
      </c>
      <c r="AK324" s="89" t="str">
        <f>HYPERLINK("https://yt3.ggpht.com/ytc/AGIKgqM6wNPnHq9TyEkU1UcxpTqshOsvMSCR-GHrlOnH9g=s88-c-k-c0x00ffffff-no-rj")</f>
        <v>https://yt3.ggpht.com/ytc/AGIKgqM6wNPnHq9TyEkU1UcxpTqshOsvMSCR-GHrlOnH9g=s88-c-k-c0x00ffffff-no-rj</v>
      </c>
      <c r="AL324" s="83">
        <v>680916</v>
      </c>
      <c r="AM324" s="83">
        <v>0</v>
      </c>
      <c r="AN324" s="83">
        <v>2120</v>
      </c>
      <c r="AO324" s="83" t="b">
        <v>0</v>
      </c>
      <c r="AP324" s="83">
        <v>373</v>
      </c>
      <c r="AQ324" s="83"/>
      <c r="AR324" s="83"/>
      <c r="AS324" s="83" t="s">
        <v>2744</v>
      </c>
      <c r="AT324" s="89" t="str">
        <f>HYPERLINK("https://www.youtube.com/channel/UC6kGI215AvnHfUDlJm611og")</f>
        <v>https://www.youtube.com/channel/UC6kGI215AvnHfUDlJm611og</v>
      </c>
      <c r="AU324" s="83" t="str">
        <f>REPLACE(INDEX(GroupVertices[Group],MATCH(Vertices[[#This Row],[Vertex]],GroupVertices[Vertex],0)),1,1,"")</f>
        <v>1</v>
      </c>
      <c r="AV324" s="45"/>
      <c r="AW324" s="46"/>
      <c r="AX324" s="45"/>
      <c r="AY324" s="46"/>
      <c r="AZ324" s="45"/>
      <c r="BA324" s="46"/>
      <c r="BB324" s="45"/>
      <c r="BC324" s="46"/>
      <c r="BD324" s="45"/>
      <c r="BE324" s="110" t="s">
        <v>1874</v>
      </c>
      <c r="BF324" s="110" t="s">
        <v>1874</v>
      </c>
      <c r="BG324" s="110" t="s">
        <v>1874</v>
      </c>
      <c r="BH324" s="110" t="s">
        <v>1874</v>
      </c>
      <c r="BI324" s="2"/>
    </row>
    <row r="325" spans="1:61" ht="15">
      <c r="A325" s="61" t="s">
        <v>527</v>
      </c>
      <c r="B325" s="62" t="s">
        <v>2893</v>
      </c>
      <c r="C325" s="62"/>
      <c r="D325" s="63">
        <v>100</v>
      </c>
      <c r="E325" s="65">
        <v>50</v>
      </c>
      <c r="F325" s="100" t="str">
        <f>HYPERLINK("https://yt3.ggpht.com/ytc/AGIKgqPA1iMuZYkS7KiVqrKcii4Dwfg78AhEz6js_t4p=s88-c-k-c0x00ffffff-no-rj")</f>
        <v>https://yt3.ggpht.com/ytc/AGIKgqPA1iMuZYkS7KiVqrKcii4Dwfg78AhEz6js_t4p=s88-c-k-c0x00ffffff-no-rj</v>
      </c>
      <c r="G325" s="62"/>
      <c r="H325" s="66" t="s">
        <v>1365</v>
      </c>
      <c r="I325" s="67"/>
      <c r="J325" s="67" t="s">
        <v>159</v>
      </c>
      <c r="K325" s="66" t="s">
        <v>1365</v>
      </c>
      <c r="L325" s="70"/>
      <c r="M325" s="71">
        <v>603.0931396484375</v>
      </c>
      <c r="N325" s="71">
        <v>2482.897705078125</v>
      </c>
      <c r="O325" s="72"/>
      <c r="P325" s="73"/>
      <c r="Q325" s="73"/>
      <c r="R325" s="94"/>
      <c r="S325" s="45">
        <v>0</v>
      </c>
      <c r="T325" s="45">
        <v>1</v>
      </c>
      <c r="U325" s="46">
        <v>0</v>
      </c>
      <c r="V325" s="46">
        <v>0.122455</v>
      </c>
      <c r="W325" s="46">
        <v>0.068916</v>
      </c>
      <c r="X325" s="46">
        <v>0.002053</v>
      </c>
      <c r="Y325" s="46">
        <v>0</v>
      </c>
      <c r="Z325" s="46">
        <v>0</v>
      </c>
      <c r="AA325" s="68">
        <v>325</v>
      </c>
      <c r="AB325" s="68"/>
      <c r="AC325" s="69"/>
      <c r="AD325" s="83" t="s">
        <v>1365</v>
      </c>
      <c r="AE325" s="83"/>
      <c r="AF325" s="83"/>
      <c r="AG325" s="83"/>
      <c r="AH325" s="83"/>
      <c r="AI325" s="83" t="s">
        <v>2403</v>
      </c>
      <c r="AJ325" s="83" t="s">
        <v>2686</v>
      </c>
      <c r="AK325" s="89" t="str">
        <f>HYPERLINK("https://yt3.ggpht.com/ytc/AGIKgqPA1iMuZYkS7KiVqrKcii4Dwfg78AhEz6js_t4p=s88-c-k-c0x00ffffff-no-rj")</f>
        <v>https://yt3.ggpht.com/ytc/AGIKgqPA1iMuZYkS7KiVqrKcii4Dwfg78AhEz6js_t4p=s88-c-k-c0x00ffffff-no-rj</v>
      </c>
      <c r="AL325" s="83">
        <v>38094</v>
      </c>
      <c r="AM325" s="83">
        <v>0</v>
      </c>
      <c r="AN325" s="83">
        <v>59</v>
      </c>
      <c r="AO325" s="83" t="b">
        <v>0</v>
      </c>
      <c r="AP325" s="83">
        <v>11</v>
      </c>
      <c r="AQ325" s="83"/>
      <c r="AR325" s="83"/>
      <c r="AS325" s="83" t="s">
        <v>2744</v>
      </c>
      <c r="AT325" s="89" t="str">
        <f>HYPERLINK("https://www.youtube.com/channel/UCrY4L4pW87pg33kdbb5vaog")</f>
        <v>https://www.youtube.com/channel/UCrY4L4pW87pg33kdbb5vaog</v>
      </c>
      <c r="AU325" s="83" t="str">
        <f>REPLACE(INDEX(GroupVertices[Group],MATCH(Vertices[[#This Row],[Vertex]],GroupVertices[Vertex],0)),1,1,"")</f>
        <v>1</v>
      </c>
      <c r="AV325" s="45"/>
      <c r="AW325" s="46"/>
      <c r="AX325" s="45"/>
      <c r="AY325" s="46"/>
      <c r="AZ325" s="45"/>
      <c r="BA325" s="46"/>
      <c r="BB325" s="45"/>
      <c r="BC325" s="46"/>
      <c r="BD325" s="45"/>
      <c r="BE325" s="110" t="s">
        <v>1874</v>
      </c>
      <c r="BF325" s="110" t="s">
        <v>1874</v>
      </c>
      <c r="BG325" s="110" t="s">
        <v>1874</v>
      </c>
      <c r="BH325" s="110" t="s">
        <v>1874</v>
      </c>
      <c r="BI325" s="2"/>
    </row>
    <row r="326" spans="1:61" ht="15">
      <c r="A326" s="61" t="s">
        <v>528</v>
      </c>
      <c r="B326" s="62" t="s">
        <v>2893</v>
      </c>
      <c r="C326" s="62"/>
      <c r="D326" s="63">
        <v>100</v>
      </c>
      <c r="E326" s="65">
        <v>50</v>
      </c>
      <c r="F326" s="100" t="str">
        <f>HYPERLINK("https://yt3.ggpht.com/ytc/AGIKgqNUiCgC5NRHloSGrBR4f-POdfBrtm_mhletBNg6=s88-c-k-c0x00ffffff-no-rj")</f>
        <v>https://yt3.ggpht.com/ytc/AGIKgqNUiCgC5NRHloSGrBR4f-POdfBrtm_mhletBNg6=s88-c-k-c0x00ffffff-no-rj</v>
      </c>
      <c r="G326" s="62"/>
      <c r="H326" s="66" t="s">
        <v>1366</v>
      </c>
      <c r="I326" s="67"/>
      <c r="J326" s="67" t="s">
        <v>159</v>
      </c>
      <c r="K326" s="66" t="s">
        <v>1366</v>
      </c>
      <c r="L326" s="70"/>
      <c r="M326" s="71">
        <v>289.6746826171875</v>
      </c>
      <c r="N326" s="71">
        <v>2482.897705078125</v>
      </c>
      <c r="O326" s="72"/>
      <c r="P326" s="73"/>
      <c r="Q326" s="73"/>
      <c r="R326" s="94"/>
      <c r="S326" s="45">
        <v>0</v>
      </c>
      <c r="T326" s="45">
        <v>1</v>
      </c>
      <c r="U326" s="46">
        <v>0</v>
      </c>
      <c r="V326" s="46">
        <v>0.122455</v>
      </c>
      <c r="W326" s="46">
        <v>0.068916</v>
      </c>
      <c r="X326" s="46">
        <v>0.002053</v>
      </c>
      <c r="Y326" s="46">
        <v>0</v>
      </c>
      <c r="Z326" s="46">
        <v>0</v>
      </c>
      <c r="AA326" s="68">
        <v>326</v>
      </c>
      <c r="AB326" s="68"/>
      <c r="AC326" s="69"/>
      <c r="AD326" s="83" t="s">
        <v>1366</v>
      </c>
      <c r="AE326" s="83" t="s">
        <v>2029</v>
      </c>
      <c r="AF326" s="83"/>
      <c r="AG326" s="83"/>
      <c r="AH326" s="83"/>
      <c r="AI326" s="83" t="s">
        <v>2404</v>
      </c>
      <c r="AJ326" s="83" t="s">
        <v>2687</v>
      </c>
      <c r="AK326" s="89" t="str">
        <f>HYPERLINK("https://yt3.ggpht.com/ytc/AGIKgqNUiCgC5NRHloSGrBR4f-POdfBrtm_mhletBNg6=s88-c-k-c0x00ffffff-no-rj")</f>
        <v>https://yt3.ggpht.com/ytc/AGIKgqNUiCgC5NRHloSGrBR4f-POdfBrtm_mhletBNg6=s88-c-k-c0x00ffffff-no-rj</v>
      </c>
      <c r="AL326" s="83">
        <v>12</v>
      </c>
      <c r="AM326" s="83">
        <v>0</v>
      </c>
      <c r="AN326" s="83">
        <v>24</v>
      </c>
      <c r="AO326" s="83" t="b">
        <v>0</v>
      </c>
      <c r="AP326" s="83">
        <v>1</v>
      </c>
      <c r="AQ326" s="83"/>
      <c r="AR326" s="83"/>
      <c r="AS326" s="83" t="s">
        <v>2744</v>
      </c>
      <c r="AT326" s="89" t="str">
        <f>HYPERLINK("https://www.youtube.com/channel/UCdJEjJHAOKNloHads92QMig")</f>
        <v>https://www.youtube.com/channel/UCdJEjJHAOKNloHads92QMig</v>
      </c>
      <c r="AU326" s="83" t="str">
        <f>REPLACE(INDEX(GroupVertices[Group],MATCH(Vertices[[#This Row],[Vertex]],GroupVertices[Vertex],0)),1,1,"")</f>
        <v>1</v>
      </c>
      <c r="AV326" s="45"/>
      <c r="AW326" s="46"/>
      <c r="AX326" s="45"/>
      <c r="AY326" s="46"/>
      <c r="AZ326" s="45"/>
      <c r="BA326" s="46"/>
      <c r="BB326" s="45"/>
      <c r="BC326" s="46"/>
      <c r="BD326" s="45"/>
      <c r="BE326" s="110" t="s">
        <v>1874</v>
      </c>
      <c r="BF326" s="110" t="s">
        <v>1874</v>
      </c>
      <c r="BG326" s="110" t="s">
        <v>1874</v>
      </c>
      <c r="BH326" s="110" t="s">
        <v>1874</v>
      </c>
      <c r="BI326" s="2"/>
    </row>
    <row r="327" spans="1:61" ht="15">
      <c r="A327" s="61" t="s">
        <v>529</v>
      </c>
      <c r="B327" s="62" t="s">
        <v>2893</v>
      </c>
      <c r="C327" s="62"/>
      <c r="D327" s="63">
        <v>100</v>
      </c>
      <c r="E327" s="65">
        <v>50</v>
      </c>
      <c r="F327" s="100" t="str">
        <f>HYPERLINK("https://yt3.ggpht.com/ytc/AGIKgqPydsrdICE8bBH6oTo0B_odlAbGXZqABvKYop3kZg=s88-c-k-c0x00ffffff-no-rj")</f>
        <v>https://yt3.ggpht.com/ytc/AGIKgqPydsrdICE8bBH6oTo0B_odlAbGXZqABvKYop3kZg=s88-c-k-c0x00ffffff-no-rj</v>
      </c>
      <c r="G327" s="62"/>
      <c r="H327" s="66" t="s">
        <v>1367</v>
      </c>
      <c r="I327" s="67"/>
      <c r="J327" s="67" t="s">
        <v>159</v>
      </c>
      <c r="K327" s="66" t="s">
        <v>1367</v>
      </c>
      <c r="L327" s="70"/>
      <c r="M327" s="71">
        <v>2170.185791015625</v>
      </c>
      <c r="N327" s="71">
        <v>3112.04833984375</v>
      </c>
      <c r="O327" s="72"/>
      <c r="P327" s="73"/>
      <c r="Q327" s="73"/>
      <c r="R327" s="94"/>
      <c r="S327" s="45">
        <v>0</v>
      </c>
      <c r="T327" s="45">
        <v>1</v>
      </c>
      <c r="U327" s="46">
        <v>0</v>
      </c>
      <c r="V327" s="46">
        <v>0.122455</v>
      </c>
      <c r="W327" s="46">
        <v>0.068916</v>
      </c>
      <c r="X327" s="46">
        <v>0.002053</v>
      </c>
      <c r="Y327" s="46">
        <v>0</v>
      </c>
      <c r="Z327" s="46">
        <v>0</v>
      </c>
      <c r="AA327" s="68">
        <v>327</v>
      </c>
      <c r="AB327" s="68"/>
      <c r="AC327" s="69"/>
      <c r="AD327" s="83" t="s">
        <v>1367</v>
      </c>
      <c r="AE327" s="83" t="s">
        <v>2030</v>
      </c>
      <c r="AF327" s="83"/>
      <c r="AG327" s="83"/>
      <c r="AH327" s="83"/>
      <c r="AI327" s="83" t="s">
        <v>2405</v>
      </c>
      <c r="AJ327" s="83" t="s">
        <v>2688</v>
      </c>
      <c r="AK327" s="89" t="str">
        <f>HYPERLINK("https://yt3.ggpht.com/ytc/AGIKgqPydsrdICE8bBH6oTo0B_odlAbGXZqABvKYop3kZg=s88-c-k-c0x00ffffff-no-rj")</f>
        <v>https://yt3.ggpht.com/ytc/AGIKgqPydsrdICE8bBH6oTo0B_odlAbGXZqABvKYop3kZg=s88-c-k-c0x00ffffff-no-rj</v>
      </c>
      <c r="AL327" s="83">
        <v>29427</v>
      </c>
      <c r="AM327" s="83">
        <v>0</v>
      </c>
      <c r="AN327" s="83">
        <v>403</v>
      </c>
      <c r="AO327" s="83" t="b">
        <v>0</v>
      </c>
      <c r="AP327" s="83">
        <v>74</v>
      </c>
      <c r="AQ327" s="83"/>
      <c r="AR327" s="83"/>
      <c r="AS327" s="83" t="s">
        <v>2744</v>
      </c>
      <c r="AT327" s="89" t="str">
        <f>HYPERLINK("https://www.youtube.com/channel/UCl9hlbEHvU9S1JLZbYll5gQ")</f>
        <v>https://www.youtube.com/channel/UCl9hlbEHvU9S1JLZbYll5gQ</v>
      </c>
      <c r="AU327" s="83" t="str">
        <f>REPLACE(INDEX(GroupVertices[Group],MATCH(Vertices[[#This Row],[Vertex]],GroupVertices[Vertex],0)),1,1,"")</f>
        <v>1</v>
      </c>
      <c r="AV327" s="45"/>
      <c r="AW327" s="46"/>
      <c r="AX327" s="45"/>
      <c r="AY327" s="46"/>
      <c r="AZ327" s="45"/>
      <c r="BA327" s="46"/>
      <c r="BB327" s="45"/>
      <c r="BC327" s="46"/>
      <c r="BD327" s="45"/>
      <c r="BE327" s="110" t="s">
        <v>1874</v>
      </c>
      <c r="BF327" s="110" t="s">
        <v>1874</v>
      </c>
      <c r="BG327" s="110" t="s">
        <v>1874</v>
      </c>
      <c r="BH327" s="110" t="s">
        <v>1874</v>
      </c>
      <c r="BI327" s="2"/>
    </row>
    <row r="328" spans="1:61" ht="15">
      <c r="A328" s="61" t="s">
        <v>530</v>
      </c>
      <c r="B328" s="62" t="s">
        <v>2893</v>
      </c>
      <c r="C328" s="62"/>
      <c r="D328" s="63">
        <v>100</v>
      </c>
      <c r="E328" s="65">
        <v>50</v>
      </c>
      <c r="F328" s="100" t="str">
        <f>HYPERLINK("https://yt3.ggpht.com/ytc/AGIKgqMIopoYsBFzo9GgzZJc_d5t1aBtO8PNe8-_Cd7Pww=s88-c-k-c0x00ffffff-no-rj")</f>
        <v>https://yt3.ggpht.com/ytc/AGIKgqMIopoYsBFzo9GgzZJc_d5t1aBtO8PNe8-_Cd7Pww=s88-c-k-c0x00ffffff-no-rj</v>
      </c>
      <c r="G328" s="62"/>
      <c r="H328" s="66" t="s">
        <v>1368</v>
      </c>
      <c r="I328" s="67"/>
      <c r="J328" s="67" t="s">
        <v>159</v>
      </c>
      <c r="K328" s="66" t="s">
        <v>1368</v>
      </c>
      <c r="L328" s="70"/>
      <c r="M328" s="71">
        <v>1856.76708984375</v>
      </c>
      <c r="N328" s="71">
        <v>3112.04833984375</v>
      </c>
      <c r="O328" s="72"/>
      <c r="P328" s="73"/>
      <c r="Q328" s="73"/>
      <c r="R328" s="94"/>
      <c r="S328" s="45">
        <v>0</v>
      </c>
      <c r="T328" s="45">
        <v>1</v>
      </c>
      <c r="U328" s="46">
        <v>0</v>
      </c>
      <c r="V328" s="46">
        <v>0.122455</v>
      </c>
      <c r="W328" s="46">
        <v>0.068916</v>
      </c>
      <c r="X328" s="46">
        <v>0.002053</v>
      </c>
      <c r="Y328" s="46">
        <v>0</v>
      </c>
      <c r="Z328" s="46">
        <v>0</v>
      </c>
      <c r="AA328" s="68">
        <v>328</v>
      </c>
      <c r="AB328" s="68"/>
      <c r="AC328" s="69"/>
      <c r="AD328" s="83" t="s">
        <v>1368</v>
      </c>
      <c r="AE328" s="83" t="s">
        <v>2031</v>
      </c>
      <c r="AF328" s="83"/>
      <c r="AG328" s="83"/>
      <c r="AH328" s="83"/>
      <c r="AI328" s="83" t="s">
        <v>2406</v>
      </c>
      <c r="AJ328" s="92">
        <v>41700.7647337963</v>
      </c>
      <c r="AK328" s="89" t="str">
        <f>HYPERLINK("https://yt3.ggpht.com/ytc/AGIKgqMIopoYsBFzo9GgzZJc_d5t1aBtO8PNe8-_Cd7Pww=s88-c-k-c0x00ffffff-no-rj")</f>
        <v>https://yt3.ggpht.com/ytc/AGIKgqMIopoYsBFzo9GgzZJc_d5t1aBtO8PNe8-_Cd7Pww=s88-c-k-c0x00ffffff-no-rj</v>
      </c>
      <c r="AL328" s="83">
        <v>0</v>
      </c>
      <c r="AM328" s="83">
        <v>0</v>
      </c>
      <c r="AN328" s="83">
        <v>739</v>
      </c>
      <c r="AO328" s="83" t="b">
        <v>0</v>
      </c>
      <c r="AP328" s="83">
        <v>0</v>
      </c>
      <c r="AQ328" s="83"/>
      <c r="AR328" s="83"/>
      <c r="AS328" s="83" t="s">
        <v>2744</v>
      </c>
      <c r="AT328" s="89" t="str">
        <f>HYPERLINK("https://www.youtube.com/channel/UCozlZQSrRkZcnbQDc5mSKLw")</f>
        <v>https://www.youtube.com/channel/UCozlZQSrRkZcnbQDc5mSKLw</v>
      </c>
      <c r="AU328" s="83" t="str">
        <f>REPLACE(INDEX(GroupVertices[Group],MATCH(Vertices[[#This Row],[Vertex]],GroupVertices[Vertex],0)),1,1,"")</f>
        <v>1</v>
      </c>
      <c r="AV328" s="45"/>
      <c r="AW328" s="46"/>
      <c r="AX328" s="45"/>
      <c r="AY328" s="46"/>
      <c r="AZ328" s="45"/>
      <c r="BA328" s="46"/>
      <c r="BB328" s="45"/>
      <c r="BC328" s="46"/>
      <c r="BD328" s="45"/>
      <c r="BE328" s="110" t="s">
        <v>1874</v>
      </c>
      <c r="BF328" s="110" t="s">
        <v>1874</v>
      </c>
      <c r="BG328" s="110" t="s">
        <v>1874</v>
      </c>
      <c r="BH328" s="110" t="s">
        <v>1874</v>
      </c>
      <c r="BI328" s="2"/>
    </row>
    <row r="329" spans="1:61" ht="15">
      <c r="A329" s="61" t="s">
        <v>531</v>
      </c>
      <c r="B329" s="62" t="s">
        <v>2893</v>
      </c>
      <c r="C329" s="62"/>
      <c r="D329" s="63">
        <v>100</v>
      </c>
      <c r="E329" s="65">
        <v>50</v>
      </c>
      <c r="F329" s="100" t="str">
        <f>HYPERLINK("https://yt3.ggpht.com/FYJHDlr3_CMiQDmLbHxBfIYvjuvsPefqrEhoc5YT8J7UdPv9te3hrq3MUNCGZVt12O6HlYtuVQ=s88-c-k-c0x00ffffff-no-rj")</f>
        <v>https://yt3.ggpht.com/FYJHDlr3_CMiQDmLbHxBfIYvjuvsPefqrEhoc5YT8J7UdPv9te3hrq3MUNCGZVt12O6HlYtuVQ=s88-c-k-c0x00ffffff-no-rj</v>
      </c>
      <c r="G329" s="62"/>
      <c r="H329" s="66" t="s">
        <v>1369</v>
      </c>
      <c r="I329" s="67"/>
      <c r="J329" s="67" t="s">
        <v>159</v>
      </c>
      <c r="K329" s="66" t="s">
        <v>1369</v>
      </c>
      <c r="L329" s="70"/>
      <c r="M329" s="71">
        <v>1543.3487548828125</v>
      </c>
      <c r="N329" s="71">
        <v>3112.04833984375</v>
      </c>
      <c r="O329" s="72"/>
      <c r="P329" s="73"/>
      <c r="Q329" s="73"/>
      <c r="R329" s="94"/>
      <c r="S329" s="45">
        <v>0</v>
      </c>
      <c r="T329" s="45">
        <v>1</v>
      </c>
      <c r="U329" s="46">
        <v>0</v>
      </c>
      <c r="V329" s="46">
        <v>0.122455</v>
      </c>
      <c r="W329" s="46">
        <v>0.068916</v>
      </c>
      <c r="X329" s="46">
        <v>0.002053</v>
      </c>
      <c r="Y329" s="46">
        <v>0</v>
      </c>
      <c r="Z329" s="46">
        <v>0</v>
      </c>
      <c r="AA329" s="68">
        <v>329</v>
      </c>
      <c r="AB329" s="68"/>
      <c r="AC329" s="69"/>
      <c r="AD329" s="83" t="s">
        <v>1369</v>
      </c>
      <c r="AE329" s="83"/>
      <c r="AF329" s="83"/>
      <c r="AG329" s="83"/>
      <c r="AH329" s="83"/>
      <c r="AI329" s="83" t="s">
        <v>2407</v>
      </c>
      <c r="AJ329" s="92">
        <v>42041.6094212963</v>
      </c>
      <c r="AK329" s="89" t="str">
        <f>HYPERLINK("https://yt3.ggpht.com/FYJHDlr3_CMiQDmLbHxBfIYvjuvsPefqrEhoc5YT8J7UdPv9te3hrq3MUNCGZVt12O6HlYtuVQ=s88-c-k-c0x00ffffff-no-rj")</f>
        <v>https://yt3.ggpht.com/FYJHDlr3_CMiQDmLbHxBfIYvjuvsPefqrEhoc5YT8J7UdPv9te3hrq3MUNCGZVt12O6HlYtuVQ=s88-c-k-c0x00ffffff-no-rj</v>
      </c>
      <c r="AL329" s="83">
        <v>0</v>
      </c>
      <c r="AM329" s="83">
        <v>0</v>
      </c>
      <c r="AN329" s="83">
        <v>5</v>
      </c>
      <c r="AO329" s="83" t="b">
        <v>0</v>
      </c>
      <c r="AP329" s="83">
        <v>0</v>
      </c>
      <c r="AQ329" s="83"/>
      <c r="AR329" s="83"/>
      <c r="AS329" s="83" t="s">
        <v>2744</v>
      </c>
      <c r="AT329" s="89" t="str">
        <f>HYPERLINK("https://www.youtube.com/channel/UCNPNx2B0UhAEQ88px0O-_0A")</f>
        <v>https://www.youtube.com/channel/UCNPNx2B0UhAEQ88px0O-_0A</v>
      </c>
      <c r="AU329" s="83" t="str">
        <f>REPLACE(INDEX(GroupVertices[Group],MATCH(Vertices[[#This Row],[Vertex]],GroupVertices[Vertex],0)),1,1,"")</f>
        <v>1</v>
      </c>
      <c r="AV329" s="45"/>
      <c r="AW329" s="46"/>
      <c r="AX329" s="45"/>
      <c r="AY329" s="46"/>
      <c r="AZ329" s="45"/>
      <c r="BA329" s="46"/>
      <c r="BB329" s="45"/>
      <c r="BC329" s="46"/>
      <c r="BD329" s="45"/>
      <c r="BE329" s="110" t="s">
        <v>1874</v>
      </c>
      <c r="BF329" s="110" t="s">
        <v>1874</v>
      </c>
      <c r="BG329" s="110" t="s">
        <v>1874</v>
      </c>
      <c r="BH329" s="110" t="s">
        <v>1874</v>
      </c>
      <c r="BI329" s="2"/>
    </row>
    <row r="330" spans="1:61" ht="15">
      <c r="A330" s="61" t="s">
        <v>532</v>
      </c>
      <c r="B330" s="62" t="s">
        <v>2893</v>
      </c>
      <c r="C330" s="62"/>
      <c r="D330" s="63">
        <v>100</v>
      </c>
      <c r="E330" s="65">
        <v>50</v>
      </c>
      <c r="F330" s="100" t="str">
        <f>HYPERLINK("https://yt3.ggpht.com/ytc/AGIKgqMIcUM0rYF5MxTG6cdeHQp1YcD90pjuJuByG_0k=s88-c-k-c0x00ffffff-no-rj")</f>
        <v>https://yt3.ggpht.com/ytc/AGIKgqMIcUM0rYF5MxTG6cdeHQp1YcD90pjuJuByG_0k=s88-c-k-c0x00ffffff-no-rj</v>
      </c>
      <c r="G330" s="62"/>
      <c r="H330" s="66" t="s">
        <v>1370</v>
      </c>
      <c r="I330" s="67"/>
      <c r="J330" s="67" t="s">
        <v>159</v>
      </c>
      <c r="K330" s="66" t="s">
        <v>1370</v>
      </c>
      <c r="L330" s="70"/>
      <c r="M330" s="71">
        <v>1229.93017578125</v>
      </c>
      <c r="N330" s="71">
        <v>3112.04833984375</v>
      </c>
      <c r="O330" s="72"/>
      <c r="P330" s="73"/>
      <c r="Q330" s="73"/>
      <c r="R330" s="94"/>
      <c r="S330" s="45">
        <v>0</v>
      </c>
      <c r="T330" s="45">
        <v>1</v>
      </c>
      <c r="U330" s="46">
        <v>0</v>
      </c>
      <c r="V330" s="46">
        <v>0.122455</v>
      </c>
      <c r="W330" s="46">
        <v>0.068916</v>
      </c>
      <c r="X330" s="46">
        <v>0.002053</v>
      </c>
      <c r="Y330" s="46">
        <v>0</v>
      </c>
      <c r="Z330" s="46">
        <v>0</v>
      </c>
      <c r="AA330" s="68">
        <v>330</v>
      </c>
      <c r="AB330" s="68"/>
      <c r="AC330" s="69"/>
      <c r="AD330" s="83" t="s">
        <v>1370</v>
      </c>
      <c r="AE330" s="83" t="s">
        <v>2032</v>
      </c>
      <c r="AF330" s="83"/>
      <c r="AG330" s="83"/>
      <c r="AH330" s="83"/>
      <c r="AI330" s="83" t="s">
        <v>2408</v>
      </c>
      <c r="AJ330" s="92">
        <v>42897.42135416667</v>
      </c>
      <c r="AK330" s="89" t="str">
        <f>HYPERLINK("https://yt3.ggpht.com/ytc/AGIKgqMIcUM0rYF5MxTG6cdeHQp1YcD90pjuJuByG_0k=s88-c-k-c0x00ffffff-no-rj")</f>
        <v>https://yt3.ggpht.com/ytc/AGIKgqMIcUM0rYF5MxTG6cdeHQp1YcD90pjuJuByG_0k=s88-c-k-c0x00ffffff-no-rj</v>
      </c>
      <c r="AL330" s="83">
        <v>0</v>
      </c>
      <c r="AM330" s="83">
        <v>0</v>
      </c>
      <c r="AN330" s="83">
        <v>0</v>
      </c>
      <c r="AO330" s="83" t="b">
        <v>0</v>
      </c>
      <c r="AP330" s="83">
        <v>0</v>
      </c>
      <c r="AQ330" s="83"/>
      <c r="AR330" s="83"/>
      <c r="AS330" s="83" t="s">
        <v>2744</v>
      </c>
      <c r="AT330" s="89" t="str">
        <f>HYPERLINK("https://www.youtube.com/channel/UCY6UK87WDx1BCOqv02hbYCw")</f>
        <v>https://www.youtube.com/channel/UCY6UK87WDx1BCOqv02hbYCw</v>
      </c>
      <c r="AU330" s="83" t="str">
        <f>REPLACE(INDEX(GroupVertices[Group],MATCH(Vertices[[#This Row],[Vertex]],GroupVertices[Vertex],0)),1,1,"")</f>
        <v>1</v>
      </c>
      <c r="AV330" s="45"/>
      <c r="AW330" s="46"/>
      <c r="AX330" s="45"/>
      <c r="AY330" s="46"/>
      <c r="AZ330" s="45"/>
      <c r="BA330" s="46"/>
      <c r="BB330" s="45"/>
      <c r="BC330" s="46"/>
      <c r="BD330" s="45"/>
      <c r="BE330" s="110" t="s">
        <v>1874</v>
      </c>
      <c r="BF330" s="110" t="s">
        <v>1874</v>
      </c>
      <c r="BG330" s="110" t="s">
        <v>1874</v>
      </c>
      <c r="BH330" s="110" t="s">
        <v>1874</v>
      </c>
      <c r="BI330" s="2"/>
    </row>
    <row r="331" spans="1:61" ht="15">
      <c r="A331" s="61" t="s">
        <v>533</v>
      </c>
      <c r="B331" s="62" t="s">
        <v>2893</v>
      </c>
      <c r="C331" s="62"/>
      <c r="D331" s="63">
        <v>100</v>
      </c>
      <c r="E331" s="65">
        <v>50</v>
      </c>
      <c r="F331" s="100" t="str">
        <f>HYPERLINK("https://yt3.ggpht.com/ytc/AGIKgqMYdFsMYyGmBSmr0A5XwSVDP_bvc-7y4oAAsLOo=s88-c-k-c0x00ffffff-no-rj")</f>
        <v>https://yt3.ggpht.com/ytc/AGIKgqMYdFsMYyGmBSmr0A5XwSVDP_bvc-7y4oAAsLOo=s88-c-k-c0x00ffffff-no-rj</v>
      </c>
      <c r="G331" s="62"/>
      <c r="H331" s="66" t="s">
        <v>1371</v>
      </c>
      <c r="I331" s="67"/>
      <c r="J331" s="67" t="s">
        <v>159</v>
      </c>
      <c r="K331" s="66" t="s">
        <v>1371</v>
      </c>
      <c r="L331" s="70"/>
      <c r="M331" s="71">
        <v>916.51171875</v>
      </c>
      <c r="N331" s="71">
        <v>3112.04833984375</v>
      </c>
      <c r="O331" s="72"/>
      <c r="P331" s="73"/>
      <c r="Q331" s="73"/>
      <c r="R331" s="94"/>
      <c r="S331" s="45">
        <v>0</v>
      </c>
      <c r="T331" s="45">
        <v>1</v>
      </c>
      <c r="U331" s="46">
        <v>0</v>
      </c>
      <c r="V331" s="46">
        <v>0.122455</v>
      </c>
      <c r="W331" s="46">
        <v>0.068916</v>
      </c>
      <c r="X331" s="46">
        <v>0.002053</v>
      </c>
      <c r="Y331" s="46">
        <v>0</v>
      </c>
      <c r="Z331" s="46">
        <v>0</v>
      </c>
      <c r="AA331" s="68">
        <v>331</v>
      </c>
      <c r="AB331" s="68"/>
      <c r="AC331" s="69"/>
      <c r="AD331" s="83" t="s">
        <v>1371</v>
      </c>
      <c r="AE331" s="83"/>
      <c r="AF331" s="83"/>
      <c r="AG331" s="83"/>
      <c r="AH331" s="83"/>
      <c r="AI331" s="83" t="s">
        <v>2409</v>
      </c>
      <c r="AJ331" s="92">
        <v>41335.3122337963</v>
      </c>
      <c r="AK331" s="89" t="str">
        <f>HYPERLINK("https://yt3.ggpht.com/ytc/AGIKgqMYdFsMYyGmBSmr0A5XwSVDP_bvc-7y4oAAsLOo=s88-c-k-c0x00ffffff-no-rj")</f>
        <v>https://yt3.ggpht.com/ytc/AGIKgqMYdFsMYyGmBSmr0A5XwSVDP_bvc-7y4oAAsLOo=s88-c-k-c0x00ffffff-no-rj</v>
      </c>
      <c r="AL331" s="83">
        <v>0</v>
      </c>
      <c r="AM331" s="83">
        <v>0</v>
      </c>
      <c r="AN331" s="83">
        <v>57</v>
      </c>
      <c r="AO331" s="83" t="b">
        <v>0</v>
      </c>
      <c r="AP331" s="83">
        <v>0</v>
      </c>
      <c r="AQ331" s="83"/>
      <c r="AR331" s="83"/>
      <c r="AS331" s="83" t="s">
        <v>2744</v>
      </c>
      <c r="AT331" s="89" t="str">
        <f>HYPERLINK("https://www.youtube.com/channel/UC-RL5jQjADFaFnAC4GWwAcg")</f>
        <v>https://www.youtube.com/channel/UC-RL5jQjADFaFnAC4GWwAcg</v>
      </c>
      <c r="AU331" s="83" t="str">
        <f>REPLACE(INDEX(GroupVertices[Group],MATCH(Vertices[[#This Row],[Vertex]],GroupVertices[Vertex],0)),1,1,"")</f>
        <v>1</v>
      </c>
      <c r="AV331" s="45"/>
      <c r="AW331" s="46"/>
      <c r="AX331" s="45"/>
      <c r="AY331" s="46"/>
      <c r="AZ331" s="45"/>
      <c r="BA331" s="46"/>
      <c r="BB331" s="45"/>
      <c r="BC331" s="46"/>
      <c r="BD331" s="45"/>
      <c r="BE331" s="110" t="s">
        <v>1874</v>
      </c>
      <c r="BF331" s="110" t="s">
        <v>1874</v>
      </c>
      <c r="BG331" s="110" t="s">
        <v>1874</v>
      </c>
      <c r="BH331" s="110" t="s">
        <v>1874</v>
      </c>
      <c r="BI331" s="2"/>
    </row>
    <row r="332" spans="1:61" ht="15">
      <c r="A332" s="61" t="s">
        <v>534</v>
      </c>
      <c r="B332" s="62" t="s">
        <v>2893</v>
      </c>
      <c r="C332" s="62"/>
      <c r="D332" s="63">
        <v>100</v>
      </c>
      <c r="E332" s="65">
        <v>50</v>
      </c>
      <c r="F332" s="100" t="str">
        <f>HYPERLINK("https://yt3.ggpht.com/ytc/AGIKgqMtuy5x1AdH04ejgxUDJtHocTk1noC9bURg9qQvKw=s88-c-k-c0x00ffffff-no-rj")</f>
        <v>https://yt3.ggpht.com/ytc/AGIKgqMtuy5x1AdH04ejgxUDJtHocTk1noC9bURg9qQvKw=s88-c-k-c0x00ffffff-no-rj</v>
      </c>
      <c r="G332" s="62"/>
      <c r="H332" s="66" t="s">
        <v>1372</v>
      </c>
      <c r="I332" s="67"/>
      <c r="J332" s="67" t="s">
        <v>159</v>
      </c>
      <c r="K332" s="66" t="s">
        <v>1372</v>
      </c>
      <c r="L332" s="70"/>
      <c r="M332" s="71">
        <v>603.0931396484375</v>
      </c>
      <c r="N332" s="71">
        <v>3112.04833984375</v>
      </c>
      <c r="O332" s="72"/>
      <c r="P332" s="73"/>
      <c r="Q332" s="73"/>
      <c r="R332" s="94"/>
      <c r="S332" s="45">
        <v>0</v>
      </c>
      <c r="T332" s="45">
        <v>1</v>
      </c>
      <c r="U332" s="46">
        <v>0</v>
      </c>
      <c r="V332" s="46">
        <v>0.122455</v>
      </c>
      <c r="W332" s="46">
        <v>0.068916</v>
      </c>
      <c r="X332" s="46">
        <v>0.002053</v>
      </c>
      <c r="Y332" s="46">
        <v>0</v>
      </c>
      <c r="Z332" s="46">
        <v>0</v>
      </c>
      <c r="AA332" s="68">
        <v>332</v>
      </c>
      <c r="AB332" s="68"/>
      <c r="AC332" s="69"/>
      <c r="AD332" s="83" t="s">
        <v>1372</v>
      </c>
      <c r="AE332" s="83"/>
      <c r="AF332" s="83"/>
      <c r="AG332" s="83"/>
      <c r="AH332" s="83"/>
      <c r="AI332" s="83" t="s">
        <v>2410</v>
      </c>
      <c r="AJ332" s="92">
        <v>41519.104479166665</v>
      </c>
      <c r="AK332" s="89" t="str">
        <f>HYPERLINK("https://yt3.ggpht.com/ytc/AGIKgqMtuy5x1AdH04ejgxUDJtHocTk1noC9bURg9qQvKw=s88-c-k-c0x00ffffff-no-rj")</f>
        <v>https://yt3.ggpht.com/ytc/AGIKgqMtuy5x1AdH04ejgxUDJtHocTk1noC9bURg9qQvKw=s88-c-k-c0x00ffffff-no-rj</v>
      </c>
      <c r="AL332" s="83">
        <v>0</v>
      </c>
      <c r="AM332" s="83">
        <v>0</v>
      </c>
      <c r="AN332" s="83">
        <v>8</v>
      </c>
      <c r="AO332" s="83" t="b">
        <v>0</v>
      </c>
      <c r="AP332" s="83">
        <v>0</v>
      </c>
      <c r="AQ332" s="83"/>
      <c r="AR332" s="83"/>
      <c r="AS332" s="83" t="s">
        <v>2744</v>
      </c>
      <c r="AT332" s="89" t="str">
        <f>HYPERLINK("https://www.youtube.com/channel/UCDAIeh3KzPXPzo5OcRgAZcQ")</f>
        <v>https://www.youtube.com/channel/UCDAIeh3KzPXPzo5OcRgAZcQ</v>
      </c>
      <c r="AU332" s="83" t="str">
        <f>REPLACE(INDEX(GroupVertices[Group],MATCH(Vertices[[#This Row],[Vertex]],GroupVertices[Vertex],0)),1,1,"")</f>
        <v>1</v>
      </c>
      <c r="AV332" s="45"/>
      <c r="AW332" s="46"/>
      <c r="AX332" s="45"/>
      <c r="AY332" s="46"/>
      <c r="AZ332" s="45"/>
      <c r="BA332" s="46"/>
      <c r="BB332" s="45"/>
      <c r="BC332" s="46"/>
      <c r="BD332" s="45"/>
      <c r="BE332" s="110" t="s">
        <v>1874</v>
      </c>
      <c r="BF332" s="110" t="s">
        <v>1874</v>
      </c>
      <c r="BG332" s="110" t="s">
        <v>1874</v>
      </c>
      <c r="BH332" s="110" t="s">
        <v>1874</v>
      </c>
      <c r="BI332" s="2"/>
    </row>
    <row r="333" spans="1:61" ht="15">
      <c r="A333" s="61" t="s">
        <v>535</v>
      </c>
      <c r="B333" s="62" t="s">
        <v>2893</v>
      </c>
      <c r="C333" s="62"/>
      <c r="D333" s="63">
        <v>100</v>
      </c>
      <c r="E333" s="65">
        <v>50</v>
      </c>
      <c r="F333" s="100" t="str">
        <f>HYPERLINK("https://yt3.ggpht.com/ytc/AGIKgqOEj9LdXqiXN7Tvur_WLQ1FsYggQ2acE2pa5g=s88-c-k-c0x00ffffff-no-rj")</f>
        <v>https://yt3.ggpht.com/ytc/AGIKgqOEj9LdXqiXN7Tvur_WLQ1FsYggQ2acE2pa5g=s88-c-k-c0x00ffffff-no-rj</v>
      </c>
      <c r="G333" s="62"/>
      <c r="H333" s="66" t="s">
        <v>1373</v>
      </c>
      <c r="I333" s="67"/>
      <c r="J333" s="67" t="s">
        <v>159</v>
      </c>
      <c r="K333" s="66" t="s">
        <v>1373</v>
      </c>
      <c r="L333" s="70"/>
      <c r="M333" s="71">
        <v>289.6746826171875</v>
      </c>
      <c r="N333" s="71">
        <v>3112.04833984375</v>
      </c>
      <c r="O333" s="72"/>
      <c r="P333" s="73"/>
      <c r="Q333" s="73"/>
      <c r="R333" s="94"/>
      <c r="S333" s="45">
        <v>0</v>
      </c>
      <c r="T333" s="45">
        <v>1</v>
      </c>
      <c r="U333" s="46">
        <v>0</v>
      </c>
      <c r="V333" s="46">
        <v>0.122455</v>
      </c>
      <c r="W333" s="46">
        <v>0.068916</v>
      </c>
      <c r="X333" s="46">
        <v>0.002053</v>
      </c>
      <c r="Y333" s="46">
        <v>0</v>
      </c>
      <c r="Z333" s="46">
        <v>0</v>
      </c>
      <c r="AA333" s="68">
        <v>333</v>
      </c>
      <c r="AB333" s="68"/>
      <c r="AC333" s="69"/>
      <c r="AD333" s="83" t="s">
        <v>1373</v>
      </c>
      <c r="AE333" s="83"/>
      <c r="AF333" s="83"/>
      <c r="AG333" s="83"/>
      <c r="AH333" s="83"/>
      <c r="AI333" s="83" t="s">
        <v>2411</v>
      </c>
      <c r="AJ333" s="92">
        <v>41525.54875</v>
      </c>
      <c r="AK333" s="89" t="str">
        <f>HYPERLINK("https://yt3.ggpht.com/ytc/AGIKgqOEj9LdXqiXN7Tvur_WLQ1FsYggQ2acE2pa5g=s88-c-k-c0x00ffffff-no-rj")</f>
        <v>https://yt3.ggpht.com/ytc/AGIKgqOEj9LdXqiXN7Tvur_WLQ1FsYggQ2acE2pa5g=s88-c-k-c0x00ffffff-no-rj</v>
      </c>
      <c r="AL333" s="83">
        <v>0</v>
      </c>
      <c r="AM333" s="83">
        <v>0</v>
      </c>
      <c r="AN333" s="83">
        <v>9</v>
      </c>
      <c r="AO333" s="83" t="b">
        <v>0</v>
      </c>
      <c r="AP333" s="83">
        <v>0</v>
      </c>
      <c r="AQ333" s="83"/>
      <c r="AR333" s="83"/>
      <c r="AS333" s="83" t="s">
        <v>2744</v>
      </c>
      <c r="AT333" s="89" t="str">
        <f>HYPERLINK("https://www.youtube.com/channel/UCq4a-o6Z9bJ77at5WFkaT9A")</f>
        <v>https://www.youtube.com/channel/UCq4a-o6Z9bJ77at5WFkaT9A</v>
      </c>
      <c r="AU333" s="83" t="str">
        <f>REPLACE(INDEX(GroupVertices[Group],MATCH(Vertices[[#This Row],[Vertex]],GroupVertices[Vertex],0)),1,1,"")</f>
        <v>1</v>
      </c>
      <c r="AV333" s="45"/>
      <c r="AW333" s="46"/>
      <c r="AX333" s="45"/>
      <c r="AY333" s="46"/>
      <c r="AZ333" s="45"/>
      <c r="BA333" s="46"/>
      <c r="BB333" s="45"/>
      <c r="BC333" s="46"/>
      <c r="BD333" s="45"/>
      <c r="BE333" s="110" t="s">
        <v>1874</v>
      </c>
      <c r="BF333" s="110" t="s">
        <v>1874</v>
      </c>
      <c r="BG333" s="110" t="s">
        <v>1874</v>
      </c>
      <c r="BH333" s="110" t="s">
        <v>1874</v>
      </c>
      <c r="BI333" s="2"/>
    </row>
    <row r="334" spans="1:61" ht="15">
      <c r="A334" s="61" t="s">
        <v>536</v>
      </c>
      <c r="B334" s="62" t="s">
        <v>2893</v>
      </c>
      <c r="C334" s="62"/>
      <c r="D334" s="63">
        <v>100</v>
      </c>
      <c r="E334" s="65">
        <v>50</v>
      </c>
      <c r="F334" s="100" t="str">
        <f>HYPERLINK("https://yt3.ggpht.com/ytc/AGIKgqO5p3gFlFMuX3IY29DvskXCETNJh2K6eDkYOUiyVQ=s88-c-k-c0x00ffffff-no-rj")</f>
        <v>https://yt3.ggpht.com/ytc/AGIKgqO5p3gFlFMuX3IY29DvskXCETNJh2K6eDkYOUiyVQ=s88-c-k-c0x00ffffff-no-rj</v>
      </c>
      <c r="G334" s="62"/>
      <c r="H334" s="66" t="s">
        <v>1374</v>
      </c>
      <c r="I334" s="67"/>
      <c r="J334" s="67" t="s">
        <v>159</v>
      </c>
      <c r="K334" s="66" t="s">
        <v>1374</v>
      </c>
      <c r="L334" s="70"/>
      <c r="M334" s="71">
        <v>2170.185791015625</v>
      </c>
      <c r="N334" s="71">
        <v>3741.19873046875</v>
      </c>
      <c r="O334" s="72"/>
      <c r="P334" s="73"/>
      <c r="Q334" s="73"/>
      <c r="R334" s="94"/>
      <c r="S334" s="45">
        <v>0</v>
      </c>
      <c r="T334" s="45">
        <v>1</v>
      </c>
      <c r="U334" s="46">
        <v>0</v>
      </c>
      <c r="V334" s="46">
        <v>0.122455</v>
      </c>
      <c r="W334" s="46">
        <v>0.068916</v>
      </c>
      <c r="X334" s="46">
        <v>0.002053</v>
      </c>
      <c r="Y334" s="46">
        <v>0</v>
      </c>
      <c r="Z334" s="46">
        <v>0</v>
      </c>
      <c r="AA334" s="68">
        <v>334</v>
      </c>
      <c r="AB334" s="68"/>
      <c r="AC334" s="69"/>
      <c r="AD334" s="83" t="s">
        <v>1374</v>
      </c>
      <c r="AE334" s="83"/>
      <c r="AF334" s="83"/>
      <c r="AG334" s="83"/>
      <c r="AH334" s="83"/>
      <c r="AI334" s="83" t="s">
        <v>2412</v>
      </c>
      <c r="AJ334" s="92">
        <v>41067.332094907404</v>
      </c>
      <c r="AK334" s="89" t="str">
        <f>HYPERLINK("https://yt3.ggpht.com/ytc/AGIKgqO5p3gFlFMuX3IY29DvskXCETNJh2K6eDkYOUiyVQ=s88-c-k-c0x00ffffff-no-rj")</f>
        <v>https://yt3.ggpht.com/ytc/AGIKgqO5p3gFlFMuX3IY29DvskXCETNJh2K6eDkYOUiyVQ=s88-c-k-c0x00ffffff-no-rj</v>
      </c>
      <c r="AL334" s="83">
        <v>0</v>
      </c>
      <c r="AM334" s="83">
        <v>0</v>
      </c>
      <c r="AN334" s="83">
        <v>1</v>
      </c>
      <c r="AO334" s="83" t="b">
        <v>0</v>
      </c>
      <c r="AP334" s="83">
        <v>0</v>
      </c>
      <c r="AQ334" s="83"/>
      <c r="AR334" s="83"/>
      <c r="AS334" s="83" t="s">
        <v>2744</v>
      </c>
      <c r="AT334" s="89" t="str">
        <f>HYPERLINK("https://www.youtube.com/channel/UCZ6_rB05TwzDg3eK71u41ew")</f>
        <v>https://www.youtube.com/channel/UCZ6_rB05TwzDg3eK71u41ew</v>
      </c>
      <c r="AU334" s="83" t="str">
        <f>REPLACE(INDEX(GroupVertices[Group],MATCH(Vertices[[#This Row],[Vertex]],GroupVertices[Vertex],0)),1,1,"")</f>
        <v>1</v>
      </c>
      <c r="AV334" s="45"/>
      <c r="AW334" s="46"/>
      <c r="AX334" s="45"/>
      <c r="AY334" s="46"/>
      <c r="AZ334" s="45"/>
      <c r="BA334" s="46"/>
      <c r="BB334" s="45"/>
      <c r="BC334" s="46"/>
      <c r="BD334" s="45"/>
      <c r="BE334" s="110" t="s">
        <v>1874</v>
      </c>
      <c r="BF334" s="110" t="s">
        <v>1874</v>
      </c>
      <c r="BG334" s="110" t="s">
        <v>1874</v>
      </c>
      <c r="BH334" s="110" t="s">
        <v>1874</v>
      </c>
      <c r="BI334" s="2"/>
    </row>
    <row r="335" spans="1:61" ht="15">
      <c r="A335" s="61" t="s">
        <v>537</v>
      </c>
      <c r="B335" s="62" t="s">
        <v>2893</v>
      </c>
      <c r="C335" s="62"/>
      <c r="D335" s="63">
        <v>100</v>
      </c>
      <c r="E335" s="65">
        <v>50</v>
      </c>
      <c r="F335" s="100" t="str">
        <f>HYPERLINK("https://yt3.ggpht.com/eoAGYySZy5_gyhNDNgI4Cz6KMh975_vjHG4vc3Gbkn_3Z2l8ktVcmAJeh7IKhUnIjTS5lAH_tA=s88-c-k-c0x00ffffff-no-rj")</f>
        <v>https://yt3.ggpht.com/eoAGYySZy5_gyhNDNgI4Cz6KMh975_vjHG4vc3Gbkn_3Z2l8ktVcmAJeh7IKhUnIjTS5lAH_tA=s88-c-k-c0x00ffffff-no-rj</v>
      </c>
      <c r="G335" s="62"/>
      <c r="H335" s="66" t="s">
        <v>1375</v>
      </c>
      <c r="I335" s="67"/>
      <c r="J335" s="67" t="s">
        <v>159</v>
      </c>
      <c r="K335" s="66" t="s">
        <v>1375</v>
      </c>
      <c r="L335" s="70"/>
      <c r="M335" s="71">
        <v>1856.76708984375</v>
      </c>
      <c r="N335" s="71">
        <v>3741.19873046875</v>
      </c>
      <c r="O335" s="72"/>
      <c r="P335" s="73"/>
      <c r="Q335" s="73"/>
      <c r="R335" s="94"/>
      <c r="S335" s="45">
        <v>0</v>
      </c>
      <c r="T335" s="45">
        <v>1</v>
      </c>
      <c r="U335" s="46">
        <v>0</v>
      </c>
      <c r="V335" s="46">
        <v>0.122455</v>
      </c>
      <c r="W335" s="46">
        <v>0.068916</v>
      </c>
      <c r="X335" s="46">
        <v>0.002053</v>
      </c>
      <c r="Y335" s="46">
        <v>0</v>
      </c>
      <c r="Z335" s="46">
        <v>0</v>
      </c>
      <c r="AA335" s="68">
        <v>335</v>
      </c>
      <c r="AB335" s="68"/>
      <c r="AC335" s="69"/>
      <c r="AD335" s="83" t="s">
        <v>1375</v>
      </c>
      <c r="AE335" s="83" t="s">
        <v>2033</v>
      </c>
      <c r="AF335" s="83"/>
      <c r="AG335" s="83"/>
      <c r="AH335" s="83"/>
      <c r="AI335" s="83" t="s">
        <v>2413</v>
      </c>
      <c r="AJ335" s="92">
        <v>42553.06196759259</v>
      </c>
      <c r="AK335" s="89" t="str">
        <f>HYPERLINK("https://yt3.ggpht.com/eoAGYySZy5_gyhNDNgI4Cz6KMh975_vjHG4vc3Gbkn_3Z2l8ktVcmAJeh7IKhUnIjTS5lAH_tA=s88-c-k-c0x00ffffff-no-rj")</f>
        <v>https://yt3.ggpht.com/eoAGYySZy5_gyhNDNgI4Cz6KMh975_vjHG4vc3Gbkn_3Z2l8ktVcmAJeh7IKhUnIjTS5lAH_tA=s88-c-k-c0x00ffffff-no-rj</v>
      </c>
      <c r="AL335" s="83">
        <v>6255</v>
      </c>
      <c r="AM335" s="83">
        <v>0</v>
      </c>
      <c r="AN335" s="83">
        <v>223</v>
      </c>
      <c r="AO335" s="83" t="b">
        <v>0</v>
      </c>
      <c r="AP335" s="83">
        <v>16</v>
      </c>
      <c r="AQ335" s="83"/>
      <c r="AR335" s="83"/>
      <c r="AS335" s="83" t="s">
        <v>2744</v>
      </c>
      <c r="AT335" s="89" t="str">
        <f>HYPERLINK("https://www.youtube.com/channel/UCMkGFwQqmu1Hkre8dnT5CYg")</f>
        <v>https://www.youtube.com/channel/UCMkGFwQqmu1Hkre8dnT5CYg</v>
      </c>
      <c r="AU335" s="83" t="str">
        <f>REPLACE(INDEX(GroupVertices[Group],MATCH(Vertices[[#This Row],[Vertex]],GroupVertices[Vertex],0)),1,1,"")</f>
        <v>1</v>
      </c>
      <c r="AV335" s="45"/>
      <c r="AW335" s="46"/>
      <c r="AX335" s="45"/>
      <c r="AY335" s="46"/>
      <c r="AZ335" s="45"/>
      <c r="BA335" s="46"/>
      <c r="BB335" s="45"/>
      <c r="BC335" s="46"/>
      <c r="BD335" s="45"/>
      <c r="BE335" s="110" t="s">
        <v>1874</v>
      </c>
      <c r="BF335" s="110" t="s">
        <v>1874</v>
      </c>
      <c r="BG335" s="110" t="s">
        <v>1874</v>
      </c>
      <c r="BH335" s="110" t="s">
        <v>1874</v>
      </c>
      <c r="BI335" s="2"/>
    </row>
    <row r="336" spans="1:61" ht="15">
      <c r="A336" s="61" t="s">
        <v>538</v>
      </c>
      <c r="B336" s="62" t="s">
        <v>2893</v>
      </c>
      <c r="C336" s="62"/>
      <c r="D336" s="63">
        <v>100</v>
      </c>
      <c r="E336" s="65">
        <v>50</v>
      </c>
      <c r="F336" s="100" t="str">
        <f>HYPERLINK("https://yt3.ggpht.com/ytc/AGIKgqNUVUroEtX_nuowzXBdnP3Id0Bp5j5J7_VpNlW5Cw=s88-c-k-c0x00ffffff-no-rj")</f>
        <v>https://yt3.ggpht.com/ytc/AGIKgqNUVUroEtX_nuowzXBdnP3Id0Bp5j5J7_VpNlW5Cw=s88-c-k-c0x00ffffff-no-rj</v>
      </c>
      <c r="G336" s="62"/>
      <c r="H336" s="66" t="s">
        <v>1376</v>
      </c>
      <c r="I336" s="67"/>
      <c r="J336" s="67" t="s">
        <v>159</v>
      </c>
      <c r="K336" s="66" t="s">
        <v>1376</v>
      </c>
      <c r="L336" s="70"/>
      <c r="M336" s="71">
        <v>1543.3487548828125</v>
      </c>
      <c r="N336" s="71">
        <v>3741.19873046875</v>
      </c>
      <c r="O336" s="72"/>
      <c r="P336" s="73"/>
      <c r="Q336" s="73"/>
      <c r="R336" s="94"/>
      <c r="S336" s="45">
        <v>0</v>
      </c>
      <c r="T336" s="45">
        <v>1</v>
      </c>
      <c r="U336" s="46">
        <v>0</v>
      </c>
      <c r="V336" s="46">
        <v>0.122455</v>
      </c>
      <c r="W336" s="46">
        <v>0.068916</v>
      </c>
      <c r="X336" s="46">
        <v>0.002053</v>
      </c>
      <c r="Y336" s="46">
        <v>0</v>
      </c>
      <c r="Z336" s="46">
        <v>0</v>
      </c>
      <c r="AA336" s="68">
        <v>336</v>
      </c>
      <c r="AB336" s="68"/>
      <c r="AC336" s="69"/>
      <c r="AD336" s="83" t="s">
        <v>1376</v>
      </c>
      <c r="AE336" s="83"/>
      <c r="AF336" s="83"/>
      <c r="AG336" s="83"/>
      <c r="AH336" s="83"/>
      <c r="AI336" s="83" t="s">
        <v>2414</v>
      </c>
      <c r="AJ336" s="83" t="s">
        <v>2689</v>
      </c>
      <c r="AK336" s="89" t="str">
        <f>HYPERLINK("https://yt3.ggpht.com/ytc/AGIKgqNUVUroEtX_nuowzXBdnP3Id0Bp5j5J7_VpNlW5Cw=s88-c-k-c0x00ffffff-no-rj")</f>
        <v>https://yt3.ggpht.com/ytc/AGIKgqNUVUroEtX_nuowzXBdnP3Id0Bp5j5J7_VpNlW5Cw=s88-c-k-c0x00ffffff-no-rj</v>
      </c>
      <c r="AL336" s="83">
        <v>0</v>
      </c>
      <c r="AM336" s="83">
        <v>0</v>
      </c>
      <c r="AN336" s="83">
        <v>83</v>
      </c>
      <c r="AO336" s="83" t="b">
        <v>0</v>
      </c>
      <c r="AP336" s="83">
        <v>0</v>
      </c>
      <c r="AQ336" s="83"/>
      <c r="AR336" s="83"/>
      <c r="AS336" s="83" t="s">
        <v>2744</v>
      </c>
      <c r="AT336" s="89" t="str">
        <f>HYPERLINK("https://www.youtube.com/channel/UCX9TCQsPxShraoMH0OkLlWg")</f>
        <v>https://www.youtube.com/channel/UCX9TCQsPxShraoMH0OkLlWg</v>
      </c>
      <c r="AU336" s="83" t="str">
        <f>REPLACE(INDEX(GroupVertices[Group],MATCH(Vertices[[#This Row],[Vertex]],GroupVertices[Vertex],0)),1,1,"")</f>
        <v>1</v>
      </c>
      <c r="AV336" s="45"/>
      <c r="AW336" s="46"/>
      <c r="AX336" s="45"/>
      <c r="AY336" s="46"/>
      <c r="AZ336" s="45"/>
      <c r="BA336" s="46"/>
      <c r="BB336" s="45"/>
      <c r="BC336" s="46"/>
      <c r="BD336" s="45"/>
      <c r="BE336" s="110" t="s">
        <v>1874</v>
      </c>
      <c r="BF336" s="110" t="s">
        <v>1874</v>
      </c>
      <c r="BG336" s="110" t="s">
        <v>1874</v>
      </c>
      <c r="BH336" s="110" t="s">
        <v>1874</v>
      </c>
      <c r="BI336" s="2"/>
    </row>
    <row r="337" spans="1:61" ht="15">
      <c r="A337" s="61" t="s">
        <v>539</v>
      </c>
      <c r="B337" s="62" t="s">
        <v>2893</v>
      </c>
      <c r="C337" s="62"/>
      <c r="D337" s="63">
        <v>100</v>
      </c>
      <c r="E337" s="65">
        <v>50</v>
      </c>
      <c r="F337" s="100" t="str">
        <f>HYPERLINK("https://yt3.ggpht.com/1lpwLknZM32zLYIqrjgJtL9jlwkZkAGathWVE760BoLnAs6_tdQ9PhPs4swvOO0VyuWSuzwJ=s88-c-k-c0x00ffffff-no-rj")</f>
        <v>https://yt3.ggpht.com/1lpwLknZM32zLYIqrjgJtL9jlwkZkAGathWVE760BoLnAs6_tdQ9PhPs4swvOO0VyuWSuzwJ=s88-c-k-c0x00ffffff-no-rj</v>
      </c>
      <c r="G337" s="62"/>
      <c r="H337" s="66" t="s">
        <v>1377</v>
      </c>
      <c r="I337" s="67"/>
      <c r="J337" s="67" t="s">
        <v>159</v>
      </c>
      <c r="K337" s="66" t="s">
        <v>1377</v>
      </c>
      <c r="L337" s="70"/>
      <c r="M337" s="71">
        <v>1229.93017578125</v>
      </c>
      <c r="N337" s="71">
        <v>3741.19873046875</v>
      </c>
      <c r="O337" s="72"/>
      <c r="P337" s="73"/>
      <c r="Q337" s="73"/>
      <c r="R337" s="94"/>
      <c r="S337" s="45">
        <v>0</v>
      </c>
      <c r="T337" s="45">
        <v>1</v>
      </c>
      <c r="U337" s="46">
        <v>0</v>
      </c>
      <c r="V337" s="46">
        <v>0.122455</v>
      </c>
      <c r="W337" s="46">
        <v>0.068916</v>
      </c>
      <c r="X337" s="46">
        <v>0.002053</v>
      </c>
      <c r="Y337" s="46">
        <v>0</v>
      </c>
      <c r="Z337" s="46">
        <v>0</v>
      </c>
      <c r="AA337" s="68">
        <v>337</v>
      </c>
      <c r="AB337" s="68"/>
      <c r="AC337" s="69"/>
      <c r="AD337" s="83" t="s">
        <v>1377</v>
      </c>
      <c r="AE337" s="83" t="s">
        <v>2034</v>
      </c>
      <c r="AF337" s="83"/>
      <c r="AG337" s="83"/>
      <c r="AH337" s="83"/>
      <c r="AI337" s="83" t="s">
        <v>2415</v>
      </c>
      <c r="AJ337" s="83" t="s">
        <v>2690</v>
      </c>
      <c r="AK337" s="89" t="str">
        <f>HYPERLINK("https://yt3.ggpht.com/1lpwLknZM32zLYIqrjgJtL9jlwkZkAGathWVE760BoLnAs6_tdQ9PhPs4swvOO0VyuWSuzwJ=s88-c-k-c0x00ffffff-no-rj")</f>
        <v>https://yt3.ggpht.com/1lpwLknZM32zLYIqrjgJtL9jlwkZkAGathWVE760BoLnAs6_tdQ9PhPs4swvOO0VyuWSuzwJ=s88-c-k-c0x00ffffff-no-rj</v>
      </c>
      <c r="AL337" s="83">
        <v>169270</v>
      </c>
      <c r="AM337" s="83">
        <v>0</v>
      </c>
      <c r="AN337" s="83">
        <v>335</v>
      </c>
      <c r="AO337" s="83" t="b">
        <v>0</v>
      </c>
      <c r="AP337" s="83">
        <v>78</v>
      </c>
      <c r="AQ337" s="83"/>
      <c r="AR337" s="83"/>
      <c r="AS337" s="83" t="s">
        <v>2744</v>
      </c>
      <c r="AT337" s="89" t="str">
        <f>HYPERLINK("https://www.youtube.com/channel/UCrjT8e3SIvaSwbMQcWbuOUQ")</f>
        <v>https://www.youtube.com/channel/UCrjT8e3SIvaSwbMQcWbuOUQ</v>
      </c>
      <c r="AU337" s="83" t="str">
        <f>REPLACE(INDEX(GroupVertices[Group],MATCH(Vertices[[#This Row],[Vertex]],GroupVertices[Vertex],0)),1,1,"")</f>
        <v>1</v>
      </c>
      <c r="AV337" s="45"/>
      <c r="AW337" s="46"/>
      <c r="AX337" s="45"/>
      <c r="AY337" s="46"/>
      <c r="AZ337" s="45"/>
      <c r="BA337" s="46"/>
      <c r="BB337" s="45"/>
      <c r="BC337" s="46"/>
      <c r="BD337" s="45"/>
      <c r="BE337" s="110" t="s">
        <v>1874</v>
      </c>
      <c r="BF337" s="110" t="s">
        <v>1874</v>
      </c>
      <c r="BG337" s="110" t="s">
        <v>1874</v>
      </c>
      <c r="BH337" s="110" t="s">
        <v>1874</v>
      </c>
      <c r="BI337" s="2"/>
    </row>
    <row r="338" spans="1:61" ht="15">
      <c r="A338" s="61" t="s">
        <v>540</v>
      </c>
      <c r="B338" s="62" t="s">
        <v>2893</v>
      </c>
      <c r="C338" s="62"/>
      <c r="D338" s="63">
        <v>100</v>
      </c>
      <c r="E338" s="65">
        <v>50</v>
      </c>
      <c r="F338" s="100" t="str">
        <f>HYPERLINK("https://yt3.ggpht.com/ytc/AGIKgqO_BsxCatOdDiQo7-uYMsTyx-KTyXSp-n7lRKO_Yg=s88-c-k-c0x00ffffff-no-rj")</f>
        <v>https://yt3.ggpht.com/ytc/AGIKgqO_BsxCatOdDiQo7-uYMsTyx-KTyXSp-n7lRKO_Yg=s88-c-k-c0x00ffffff-no-rj</v>
      </c>
      <c r="G338" s="62"/>
      <c r="H338" s="66" t="s">
        <v>1378</v>
      </c>
      <c r="I338" s="67"/>
      <c r="J338" s="67" t="s">
        <v>159</v>
      </c>
      <c r="K338" s="66" t="s">
        <v>1378</v>
      </c>
      <c r="L338" s="70"/>
      <c r="M338" s="71">
        <v>916.51171875</v>
      </c>
      <c r="N338" s="71">
        <v>3741.19873046875</v>
      </c>
      <c r="O338" s="72"/>
      <c r="P338" s="73"/>
      <c r="Q338" s="73"/>
      <c r="R338" s="94"/>
      <c r="S338" s="45">
        <v>0</v>
      </c>
      <c r="T338" s="45">
        <v>1</v>
      </c>
      <c r="U338" s="46">
        <v>0</v>
      </c>
      <c r="V338" s="46">
        <v>0.122455</v>
      </c>
      <c r="W338" s="46">
        <v>0.068916</v>
      </c>
      <c r="X338" s="46">
        <v>0.002053</v>
      </c>
      <c r="Y338" s="46">
        <v>0</v>
      </c>
      <c r="Z338" s="46">
        <v>0</v>
      </c>
      <c r="AA338" s="68">
        <v>338</v>
      </c>
      <c r="AB338" s="68"/>
      <c r="AC338" s="69"/>
      <c r="AD338" s="83" t="s">
        <v>1378</v>
      </c>
      <c r="AE338" s="83"/>
      <c r="AF338" s="83"/>
      <c r="AG338" s="83"/>
      <c r="AH338" s="83"/>
      <c r="AI338" s="83" t="s">
        <v>2416</v>
      </c>
      <c r="AJ338" s="83" t="s">
        <v>2691</v>
      </c>
      <c r="AK338" s="89" t="str">
        <f>HYPERLINK("https://yt3.ggpht.com/ytc/AGIKgqO_BsxCatOdDiQo7-uYMsTyx-KTyXSp-n7lRKO_Yg=s88-c-k-c0x00ffffff-no-rj")</f>
        <v>https://yt3.ggpht.com/ytc/AGIKgqO_BsxCatOdDiQo7-uYMsTyx-KTyXSp-n7lRKO_Yg=s88-c-k-c0x00ffffff-no-rj</v>
      </c>
      <c r="AL338" s="83">
        <v>0</v>
      </c>
      <c r="AM338" s="83">
        <v>0</v>
      </c>
      <c r="AN338" s="83">
        <v>6</v>
      </c>
      <c r="AO338" s="83" t="b">
        <v>0</v>
      </c>
      <c r="AP338" s="83">
        <v>0</v>
      </c>
      <c r="AQ338" s="83"/>
      <c r="AR338" s="83"/>
      <c r="AS338" s="83" t="s">
        <v>2744</v>
      </c>
      <c r="AT338" s="89" t="str">
        <f>HYPERLINK("https://www.youtube.com/channel/UC5I0tl9C4T9OA6u6k4rwH2Q")</f>
        <v>https://www.youtube.com/channel/UC5I0tl9C4T9OA6u6k4rwH2Q</v>
      </c>
      <c r="AU338" s="83" t="str">
        <f>REPLACE(INDEX(GroupVertices[Group],MATCH(Vertices[[#This Row],[Vertex]],GroupVertices[Vertex],0)),1,1,"")</f>
        <v>1</v>
      </c>
      <c r="AV338" s="45"/>
      <c r="AW338" s="46"/>
      <c r="AX338" s="45"/>
      <c r="AY338" s="46"/>
      <c r="AZ338" s="45"/>
      <c r="BA338" s="46"/>
      <c r="BB338" s="45"/>
      <c r="BC338" s="46"/>
      <c r="BD338" s="45"/>
      <c r="BE338" s="110" t="s">
        <v>1874</v>
      </c>
      <c r="BF338" s="110" t="s">
        <v>1874</v>
      </c>
      <c r="BG338" s="110" t="s">
        <v>1874</v>
      </c>
      <c r="BH338" s="110" t="s">
        <v>1874</v>
      </c>
      <c r="BI338" s="2"/>
    </row>
    <row r="339" spans="1:61" ht="15">
      <c r="A339" s="61" t="s">
        <v>541</v>
      </c>
      <c r="B339" s="62" t="s">
        <v>2893</v>
      </c>
      <c r="C339" s="62"/>
      <c r="D339" s="63">
        <v>100</v>
      </c>
      <c r="E339" s="65">
        <v>50</v>
      </c>
      <c r="F339" s="100" t="str">
        <f>HYPERLINK("https://yt3.ggpht.com/o6v93rF5bJWdnSTpFrgEOLnFG6PZAwHpWFd6DGXaM2-FkYsOy16HyXQPlO9bKlM7gDTe6ao8nQ=s88-c-k-c0x00ffffff-no-rj")</f>
        <v>https://yt3.ggpht.com/o6v93rF5bJWdnSTpFrgEOLnFG6PZAwHpWFd6DGXaM2-FkYsOy16HyXQPlO9bKlM7gDTe6ao8nQ=s88-c-k-c0x00ffffff-no-rj</v>
      </c>
      <c r="G339" s="62"/>
      <c r="H339" s="66" t="s">
        <v>1379</v>
      </c>
      <c r="I339" s="67"/>
      <c r="J339" s="67" t="s">
        <v>159</v>
      </c>
      <c r="K339" s="66" t="s">
        <v>1379</v>
      </c>
      <c r="L339" s="70"/>
      <c r="M339" s="71">
        <v>603.0931396484375</v>
      </c>
      <c r="N339" s="71">
        <v>3741.19873046875</v>
      </c>
      <c r="O339" s="72"/>
      <c r="P339" s="73"/>
      <c r="Q339" s="73"/>
      <c r="R339" s="94"/>
      <c r="S339" s="45">
        <v>0</v>
      </c>
      <c r="T339" s="45">
        <v>1</v>
      </c>
      <c r="U339" s="46">
        <v>0</v>
      </c>
      <c r="V339" s="46">
        <v>0.122455</v>
      </c>
      <c r="W339" s="46">
        <v>0.068916</v>
      </c>
      <c r="X339" s="46">
        <v>0.002053</v>
      </c>
      <c r="Y339" s="46">
        <v>0</v>
      </c>
      <c r="Z339" s="46">
        <v>0</v>
      </c>
      <c r="AA339" s="68">
        <v>339</v>
      </c>
      <c r="AB339" s="68"/>
      <c r="AC339" s="69"/>
      <c r="AD339" s="83" t="s">
        <v>1379</v>
      </c>
      <c r="AE339" s="83" t="s">
        <v>2035</v>
      </c>
      <c r="AF339" s="83"/>
      <c r="AG339" s="83"/>
      <c r="AH339" s="83"/>
      <c r="AI339" s="83" t="s">
        <v>2417</v>
      </c>
      <c r="AJ339" s="83" t="s">
        <v>2692</v>
      </c>
      <c r="AK339" s="89" t="str">
        <f>HYPERLINK("https://yt3.ggpht.com/o6v93rF5bJWdnSTpFrgEOLnFG6PZAwHpWFd6DGXaM2-FkYsOy16HyXQPlO9bKlM7gDTe6ao8nQ=s88-c-k-c0x00ffffff-no-rj")</f>
        <v>https://yt3.ggpht.com/o6v93rF5bJWdnSTpFrgEOLnFG6PZAwHpWFd6DGXaM2-FkYsOy16HyXQPlO9bKlM7gDTe6ao8nQ=s88-c-k-c0x00ffffff-no-rj</v>
      </c>
      <c r="AL339" s="83">
        <v>129113</v>
      </c>
      <c r="AM339" s="83">
        <v>0</v>
      </c>
      <c r="AN339" s="83">
        <v>667</v>
      </c>
      <c r="AO339" s="83" t="b">
        <v>0</v>
      </c>
      <c r="AP339" s="83">
        <v>242</v>
      </c>
      <c r="AQ339" s="83"/>
      <c r="AR339" s="83"/>
      <c r="AS339" s="83" t="s">
        <v>2744</v>
      </c>
      <c r="AT339" s="89" t="str">
        <f>HYPERLINK("https://www.youtube.com/channel/UCTYEENz1Rt7fDO3AEUyDV4A")</f>
        <v>https://www.youtube.com/channel/UCTYEENz1Rt7fDO3AEUyDV4A</v>
      </c>
      <c r="AU339" s="83" t="str">
        <f>REPLACE(INDEX(GroupVertices[Group],MATCH(Vertices[[#This Row],[Vertex]],GroupVertices[Vertex],0)),1,1,"")</f>
        <v>1</v>
      </c>
      <c r="AV339" s="45"/>
      <c r="AW339" s="46"/>
      <c r="AX339" s="45"/>
      <c r="AY339" s="46"/>
      <c r="AZ339" s="45"/>
      <c r="BA339" s="46"/>
      <c r="BB339" s="45"/>
      <c r="BC339" s="46"/>
      <c r="BD339" s="45"/>
      <c r="BE339" s="110" t="s">
        <v>1874</v>
      </c>
      <c r="BF339" s="110" t="s">
        <v>1874</v>
      </c>
      <c r="BG339" s="110" t="s">
        <v>1874</v>
      </c>
      <c r="BH339" s="110" t="s">
        <v>1874</v>
      </c>
      <c r="BI339" s="2"/>
    </row>
    <row r="340" spans="1:61" ht="15">
      <c r="A340" s="61" t="s">
        <v>542</v>
      </c>
      <c r="B340" s="62" t="s">
        <v>2893</v>
      </c>
      <c r="C340" s="62"/>
      <c r="D340" s="63">
        <v>100</v>
      </c>
      <c r="E340" s="65">
        <v>50</v>
      </c>
      <c r="F340" s="100" t="str">
        <f>HYPERLINK("https://yt3.ggpht.com/OztTo90-V3ygoE-P0NvoMY3O71eYKPJMjXraa6FyU9Nzse2fRUSsoPmZ_C_T2VvFCxqPocao=s88-c-k-c0x00ffffff-no-rj")</f>
        <v>https://yt3.ggpht.com/OztTo90-V3ygoE-P0NvoMY3O71eYKPJMjXraa6FyU9Nzse2fRUSsoPmZ_C_T2VvFCxqPocao=s88-c-k-c0x00ffffff-no-rj</v>
      </c>
      <c r="G340" s="62"/>
      <c r="H340" s="66" t="s">
        <v>1380</v>
      </c>
      <c r="I340" s="67"/>
      <c r="J340" s="67" t="s">
        <v>159</v>
      </c>
      <c r="K340" s="66" t="s">
        <v>1380</v>
      </c>
      <c r="L340" s="70"/>
      <c r="M340" s="71">
        <v>289.6746826171875</v>
      </c>
      <c r="N340" s="71">
        <v>3741.19873046875</v>
      </c>
      <c r="O340" s="72"/>
      <c r="P340" s="73"/>
      <c r="Q340" s="73"/>
      <c r="R340" s="94"/>
      <c r="S340" s="45">
        <v>0</v>
      </c>
      <c r="T340" s="45">
        <v>1</v>
      </c>
      <c r="U340" s="46">
        <v>0</v>
      </c>
      <c r="V340" s="46">
        <v>0.122455</v>
      </c>
      <c r="W340" s="46">
        <v>0.068916</v>
      </c>
      <c r="X340" s="46">
        <v>0.002053</v>
      </c>
      <c r="Y340" s="46">
        <v>0</v>
      </c>
      <c r="Z340" s="46">
        <v>0</v>
      </c>
      <c r="AA340" s="68">
        <v>340</v>
      </c>
      <c r="AB340" s="68"/>
      <c r="AC340" s="69"/>
      <c r="AD340" s="83" t="s">
        <v>1380</v>
      </c>
      <c r="AE340" s="83" t="s">
        <v>2036</v>
      </c>
      <c r="AF340" s="83"/>
      <c r="AG340" s="83"/>
      <c r="AH340" s="83"/>
      <c r="AI340" s="83" t="s">
        <v>2418</v>
      </c>
      <c r="AJ340" s="92">
        <v>42625.588321759256</v>
      </c>
      <c r="AK340" s="89" t="str">
        <f>HYPERLINK("https://yt3.ggpht.com/OztTo90-V3ygoE-P0NvoMY3O71eYKPJMjXraa6FyU9Nzse2fRUSsoPmZ_C_T2VvFCxqPocao=s88-c-k-c0x00ffffff-no-rj")</f>
        <v>https://yt3.ggpht.com/OztTo90-V3ygoE-P0NvoMY3O71eYKPJMjXraa6FyU9Nzse2fRUSsoPmZ_C_T2VvFCxqPocao=s88-c-k-c0x00ffffff-no-rj</v>
      </c>
      <c r="AL340" s="83">
        <v>17008</v>
      </c>
      <c r="AM340" s="83">
        <v>0</v>
      </c>
      <c r="AN340" s="83">
        <v>102</v>
      </c>
      <c r="AO340" s="83" t="b">
        <v>0</v>
      </c>
      <c r="AP340" s="83">
        <v>46</v>
      </c>
      <c r="AQ340" s="83"/>
      <c r="AR340" s="83"/>
      <c r="AS340" s="83" t="s">
        <v>2744</v>
      </c>
      <c r="AT340" s="89" t="str">
        <f>HYPERLINK("https://www.youtube.com/channel/UC4sji85U43j1VMwEH1B_PHA")</f>
        <v>https://www.youtube.com/channel/UC4sji85U43j1VMwEH1B_PHA</v>
      </c>
      <c r="AU340" s="83" t="str">
        <f>REPLACE(INDEX(GroupVertices[Group],MATCH(Vertices[[#This Row],[Vertex]],GroupVertices[Vertex],0)),1,1,"")</f>
        <v>1</v>
      </c>
      <c r="AV340" s="45"/>
      <c r="AW340" s="46"/>
      <c r="AX340" s="45"/>
      <c r="AY340" s="46"/>
      <c r="AZ340" s="45"/>
      <c r="BA340" s="46"/>
      <c r="BB340" s="45"/>
      <c r="BC340" s="46"/>
      <c r="BD340" s="45"/>
      <c r="BE340" s="110" t="s">
        <v>1874</v>
      </c>
      <c r="BF340" s="110" t="s">
        <v>1874</v>
      </c>
      <c r="BG340" s="110" t="s">
        <v>1874</v>
      </c>
      <c r="BH340" s="110" t="s">
        <v>1874</v>
      </c>
      <c r="BI340" s="2"/>
    </row>
    <row r="341" spans="1:61" ht="15">
      <c r="A341" s="61" t="s">
        <v>543</v>
      </c>
      <c r="B341" s="62" t="s">
        <v>2893</v>
      </c>
      <c r="C341" s="62"/>
      <c r="D341" s="63">
        <v>100</v>
      </c>
      <c r="E341" s="65">
        <v>50</v>
      </c>
      <c r="F341" s="100" t="str">
        <f>HYPERLINK("https://yt3.ggpht.com/ytc/AGIKgqPIWiWyXA3lOOCO269R4ldz5EGUAImgfijMIg=s88-c-k-c0x00ffffff-no-rj")</f>
        <v>https://yt3.ggpht.com/ytc/AGIKgqPIWiWyXA3lOOCO269R4ldz5EGUAImgfijMIg=s88-c-k-c0x00ffffff-no-rj</v>
      </c>
      <c r="G341" s="62"/>
      <c r="H341" s="66" t="s">
        <v>1381</v>
      </c>
      <c r="I341" s="67"/>
      <c r="J341" s="67" t="s">
        <v>159</v>
      </c>
      <c r="K341" s="66" t="s">
        <v>1381</v>
      </c>
      <c r="L341" s="70"/>
      <c r="M341" s="71">
        <v>2170.185791015625</v>
      </c>
      <c r="N341" s="71">
        <v>4370.349609375</v>
      </c>
      <c r="O341" s="72"/>
      <c r="P341" s="73"/>
      <c r="Q341" s="73"/>
      <c r="R341" s="94"/>
      <c r="S341" s="45">
        <v>0</v>
      </c>
      <c r="T341" s="45">
        <v>1</v>
      </c>
      <c r="U341" s="46">
        <v>0</v>
      </c>
      <c r="V341" s="46">
        <v>0.122455</v>
      </c>
      <c r="W341" s="46">
        <v>0.068916</v>
      </c>
      <c r="X341" s="46">
        <v>0.002053</v>
      </c>
      <c r="Y341" s="46">
        <v>0</v>
      </c>
      <c r="Z341" s="46">
        <v>0</v>
      </c>
      <c r="AA341" s="68">
        <v>341</v>
      </c>
      <c r="AB341" s="68"/>
      <c r="AC341" s="69"/>
      <c r="AD341" s="83" t="s">
        <v>1381</v>
      </c>
      <c r="AE341" s="83"/>
      <c r="AF341" s="83"/>
      <c r="AG341" s="83"/>
      <c r="AH341" s="83"/>
      <c r="AI341" s="83" t="s">
        <v>2419</v>
      </c>
      <c r="AJ341" s="83" t="s">
        <v>2693</v>
      </c>
      <c r="AK341" s="89" t="str">
        <f>HYPERLINK("https://yt3.ggpht.com/ytc/AGIKgqPIWiWyXA3lOOCO269R4ldz5EGUAImgfijMIg=s88-c-k-c0x00ffffff-no-rj")</f>
        <v>https://yt3.ggpht.com/ytc/AGIKgqPIWiWyXA3lOOCO269R4ldz5EGUAImgfijMIg=s88-c-k-c0x00ffffff-no-rj</v>
      </c>
      <c r="AL341" s="83">
        <v>0</v>
      </c>
      <c r="AM341" s="83">
        <v>0</v>
      </c>
      <c r="AN341" s="83">
        <v>2</v>
      </c>
      <c r="AO341" s="83" t="b">
        <v>0</v>
      </c>
      <c r="AP341" s="83">
        <v>0</v>
      </c>
      <c r="AQ341" s="83"/>
      <c r="AR341" s="83"/>
      <c r="AS341" s="83" t="s">
        <v>2744</v>
      </c>
      <c r="AT341" s="89" t="str">
        <f>HYPERLINK("https://www.youtube.com/channel/UCDxZ-M8cj_ZO2op4hiNeeUA")</f>
        <v>https://www.youtube.com/channel/UCDxZ-M8cj_ZO2op4hiNeeUA</v>
      </c>
      <c r="AU341" s="83" t="str">
        <f>REPLACE(INDEX(GroupVertices[Group],MATCH(Vertices[[#This Row],[Vertex]],GroupVertices[Vertex],0)),1,1,"")</f>
        <v>1</v>
      </c>
      <c r="AV341" s="45"/>
      <c r="AW341" s="46"/>
      <c r="AX341" s="45"/>
      <c r="AY341" s="46"/>
      <c r="AZ341" s="45"/>
      <c r="BA341" s="46"/>
      <c r="BB341" s="45"/>
      <c r="BC341" s="46"/>
      <c r="BD341" s="45"/>
      <c r="BE341" s="110" t="s">
        <v>1874</v>
      </c>
      <c r="BF341" s="110" t="s">
        <v>1874</v>
      </c>
      <c r="BG341" s="110" t="s">
        <v>1874</v>
      </c>
      <c r="BH341" s="110" t="s">
        <v>1874</v>
      </c>
      <c r="BI341" s="2"/>
    </row>
    <row r="342" spans="1:61" ht="15">
      <c r="A342" s="61" t="s">
        <v>544</v>
      </c>
      <c r="B342" s="62" t="s">
        <v>2893</v>
      </c>
      <c r="C342" s="62"/>
      <c r="D342" s="63">
        <v>100</v>
      </c>
      <c r="E342" s="65">
        <v>50</v>
      </c>
      <c r="F342" s="100" t="str">
        <f>HYPERLINK("https://yt3.ggpht.com/ytc/AGIKgqMFTCgtmWcwTU4DekdCOUdmLJ5LyFntwonhWYkl=s88-c-k-c0x00ffffff-no-rj")</f>
        <v>https://yt3.ggpht.com/ytc/AGIKgqMFTCgtmWcwTU4DekdCOUdmLJ5LyFntwonhWYkl=s88-c-k-c0x00ffffff-no-rj</v>
      </c>
      <c r="G342" s="62"/>
      <c r="H342" s="66" t="s">
        <v>1382</v>
      </c>
      <c r="I342" s="67"/>
      <c r="J342" s="67" t="s">
        <v>159</v>
      </c>
      <c r="K342" s="66" t="s">
        <v>1382</v>
      </c>
      <c r="L342" s="70"/>
      <c r="M342" s="71">
        <v>1856.76708984375</v>
      </c>
      <c r="N342" s="71">
        <v>4370.349609375</v>
      </c>
      <c r="O342" s="72"/>
      <c r="P342" s="73"/>
      <c r="Q342" s="73"/>
      <c r="R342" s="94"/>
      <c r="S342" s="45">
        <v>0</v>
      </c>
      <c r="T342" s="45">
        <v>1</v>
      </c>
      <c r="U342" s="46">
        <v>0</v>
      </c>
      <c r="V342" s="46">
        <v>0.122455</v>
      </c>
      <c r="W342" s="46">
        <v>0.068916</v>
      </c>
      <c r="X342" s="46">
        <v>0.002053</v>
      </c>
      <c r="Y342" s="46">
        <v>0</v>
      </c>
      <c r="Z342" s="46">
        <v>0</v>
      </c>
      <c r="AA342" s="68">
        <v>342</v>
      </c>
      <c r="AB342" s="68"/>
      <c r="AC342" s="69"/>
      <c r="AD342" s="83" t="s">
        <v>1382</v>
      </c>
      <c r="AE342" s="83"/>
      <c r="AF342" s="83"/>
      <c r="AG342" s="83"/>
      <c r="AH342" s="83"/>
      <c r="AI342" s="83" t="s">
        <v>2420</v>
      </c>
      <c r="AJ342" s="92">
        <v>42955.560636574075</v>
      </c>
      <c r="AK342" s="89" t="str">
        <f>HYPERLINK("https://yt3.ggpht.com/ytc/AGIKgqMFTCgtmWcwTU4DekdCOUdmLJ5LyFntwonhWYkl=s88-c-k-c0x00ffffff-no-rj")</f>
        <v>https://yt3.ggpht.com/ytc/AGIKgqMFTCgtmWcwTU4DekdCOUdmLJ5LyFntwonhWYkl=s88-c-k-c0x00ffffff-no-rj</v>
      </c>
      <c r="AL342" s="83">
        <v>0</v>
      </c>
      <c r="AM342" s="83">
        <v>0</v>
      </c>
      <c r="AN342" s="83">
        <v>0</v>
      </c>
      <c r="AO342" s="83" t="b">
        <v>0</v>
      </c>
      <c r="AP342" s="83">
        <v>0</v>
      </c>
      <c r="AQ342" s="83"/>
      <c r="AR342" s="83"/>
      <c r="AS342" s="83" t="s">
        <v>2744</v>
      </c>
      <c r="AT342" s="89" t="str">
        <f>HYPERLINK("https://www.youtube.com/channel/UCuquBisAuAQm-A1xOI9UeaA")</f>
        <v>https://www.youtube.com/channel/UCuquBisAuAQm-A1xOI9UeaA</v>
      </c>
      <c r="AU342" s="83" t="str">
        <f>REPLACE(INDEX(GroupVertices[Group],MATCH(Vertices[[#This Row],[Vertex]],GroupVertices[Vertex],0)),1,1,"")</f>
        <v>1</v>
      </c>
      <c r="AV342" s="45"/>
      <c r="AW342" s="46"/>
      <c r="AX342" s="45"/>
      <c r="AY342" s="46"/>
      <c r="AZ342" s="45"/>
      <c r="BA342" s="46"/>
      <c r="BB342" s="45"/>
      <c r="BC342" s="46"/>
      <c r="BD342" s="45"/>
      <c r="BE342" s="110" t="s">
        <v>1874</v>
      </c>
      <c r="BF342" s="110" t="s">
        <v>1874</v>
      </c>
      <c r="BG342" s="110" t="s">
        <v>1874</v>
      </c>
      <c r="BH342" s="110" t="s">
        <v>1874</v>
      </c>
      <c r="BI342" s="2"/>
    </row>
    <row r="343" spans="1:61" ht="15">
      <c r="A343" s="61" t="s">
        <v>545</v>
      </c>
      <c r="B343" s="62" t="s">
        <v>2893</v>
      </c>
      <c r="C343" s="62"/>
      <c r="D343" s="63">
        <v>100</v>
      </c>
      <c r="E343" s="65">
        <v>50</v>
      </c>
      <c r="F343" s="100" t="str">
        <f>HYPERLINK("https://yt3.ggpht.com/snrUy9AgtGJxQzf6Op9nbR3cJQTYWCWaWxTfhcFZo7Ox8A1VOefV_wgOEfznFPPBn4taXDX_7Q=s88-c-k-c0x00ffffff-no-rj")</f>
        <v>https://yt3.ggpht.com/snrUy9AgtGJxQzf6Op9nbR3cJQTYWCWaWxTfhcFZo7Ox8A1VOefV_wgOEfznFPPBn4taXDX_7Q=s88-c-k-c0x00ffffff-no-rj</v>
      </c>
      <c r="G343" s="62"/>
      <c r="H343" s="66" t="s">
        <v>1383</v>
      </c>
      <c r="I343" s="67"/>
      <c r="J343" s="67" t="s">
        <v>159</v>
      </c>
      <c r="K343" s="66" t="s">
        <v>1383</v>
      </c>
      <c r="L343" s="70"/>
      <c r="M343" s="71">
        <v>1543.3487548828125</v>
      </c>
      <c r="N343" s="71">
        <v>4370.349609375</v>
      </c>
      <c r="O343" s="72"/>
      <c r="P343" s="73"/>
      <c r="Q343" s="73"/>
      <c r="R343" s="94"/>
      <c r="S343" s="45">
        <v>0</v>
      </c>
      <c r="T343" s="45">
        <v>1</v>
      </c>
      <c r="U343" s="46">
        <v>0</v>
      </c>
      <c r="V343" s="46">
        <v>0.122455</v>
      </c>
      <c r="W343" s="46">
        <v>0.068916</v>
      </c>
      <c r="X343" s="46">
        <v>0.002053</v>
      </c>
      <c r="Y343" s="46">
        <v>0</v>
      </c>
      <c r="Z343" s="46">
        <v>0</v>
      </c>
      <c r="AA343" s="68">
        <v>343</v>
      </c>
      <c r="AB343" s="68"/>
      <c r="AC343" s="69"/>
      <c r="AD343" s="83" t="s">
        <v>1383</v>
      </c>
      <c r="AE343" s="83" t="s">
        <v>2037</v>
      </c>
      <c r="AF343" s="83"/>
      <c r="AG343" s="83"/>
      <c r="AH343" s="83"/>
      <c r="AI343" s="83" t="s">
        <v>2421</v>
      </c>
      <c r="AJ343" s="83" t="s">
        <v>2694</v>
      </c>
      <c r="AK343" s="89" t="str">
        <f>HYPERLINK("https://yt3.ggpht.com/snrUy9AgtGJxQzf6Op9nbR3cJQTYWCWaWxTfhcFZo7Ox8A1VOefV_wgOEfznFPPBn4taXDX_7Q=s88-c-k-c0x00ffffff-no-rj")</f>
        <v>https://yt3.ggpht.com/snrUy9AgtGJxQzf6Op9nbR3cJQTYWCWaWxTfhcFZo7Ox8A1VOefV_wgOEfznFPPBn4taXDX_7Q=s88-c-k-c0x00ffffff-no-rj</v>
      </c>
      <c r="AL343" s="83">
        <v>1182</v>
      </c>
      <c r="AM343" s="83">
        <v>0</v>
      </c>
      <c r="AN343" s="83">
        <v>40</v>
      </c>
      <c r="AO343" s="83" t="b">
        <v>0</v>
      </c>
      <c r="AP343" s="83">
        <v>70</v>
      </c>
      <c r="AQ343" s="83"/>
      <c r="AR343" s="83"/>
      <c r="AS343" s="83" t="s">
        <v>2744</v>
      </c>
      <c r="AT343" s="89" t="str">
        <f>HYPERLINK("https://www.youtube.com/channel/UC3bes6p33iWgxZFbTM9ux-Q")</f>
        <v>https://www.youtube.com/channel/UC3bes6p33iWgxZFbTM9ux-Q</v>
      </c>
      <c r="AU343" s="83" t="str">
        <f>REPLACE(INDEX(GroupVertices[Group],MATCH(Vertices[[#This Row],[Vertex]],GroupVertices[Vertex],0)),1,1,"")</f>
        <v>1</v>
      </c>
      <c r="AV343" s="45"/>
      <c r="AW343" s="46"/>
      <c r="AX343" s="45"/>
      <c r="AY343" s="46"/>
      <c r="AZ343" s="45"/>
      <c r="BA343" s="46"/>
      <c r="BB343" s="45"/>
      <c r="BC343" s="46"/>
      <c r="BD343" s="45"/>
      <c r="BE343" s="110" t="s">
        <v>1874</v>
      </c>
      <c r="BF343" s="110" t="s">
        <v>1874</v>
      </c>
      <c r="BG343" s="110" t="s">
        <v>1874</v>
      </c>
      <c r="BH343" s="110" t="s">
        <v>1874</v>
      </c>
      <c r="BI343" s="2"/>
    </row>
    <row r="344" spans="1:61" ht="15">
      <c r="A344" s="61" t="s">
        <v>546</v>
      </c>
      <c r="B344" s="62" t="s">
        <v>2893</v>
      </c>
      <c r="C344" s="62"/>
      <c r="D344" s="63">
        <v>100</v>
      </c>
      <c r="E344" s="65">
        <v>50</v>
      </c>
      <c r="F344" s="100" t="str">
        <f>HYPERLINK("https://yt3.ggpht.com/ytc/AGIKgqPNUn7pUWnZDNh1ngmsCX9lDOtFOkq7G2PRHbQuvg=s88-c-k-c0x00ffffff-no-rj")</f>
        <v>https://yt3.ggpht.com/ytc/AGIKgqPNUn7pUWnZDNh1ngmsCX9lDOtFOkq7G2PRHbQuvg=s88-c-k-c0x00ffffff-no-rj</v>
      </c>
      <c r="G344" s="62"/>
      <c r="H344" s="66" t="s">
        <v>1384</v>
      </c>
      <c r="I344" s="67"/>
      <c r="J344" s="67" t="s">
        <v>159</v>
      </c>
      <c r="K344" s="66" t="s">
        <v>1384</v>
      </c>
      <c r="L344" s="70"/>
      <c r="M344" s="71">
        <v>1229.93017578125</v>
      </c>
      <c r="N344" s="71">
        <v>4370.349609375</v>
      </c>
      <c r="O344" s="72"/>
      <c r="P344" s="73"/>
      <c r="Q344" s="73"/>
      <c r="R344" s="94"/>
      <c r="S344" s="45">
        <v>0</v>
      </c>
      <c r="T344" s="45">
        <v>1</v>
      </c>
      <c r="U344" s="46">
        <v>0</v>
      </c>
      <c r="V344" s="46">
        <v>0.122455</v>
      </c>
      <c r="W344" s="46">
        <v>0.068916</v>
      </c>
      <c r="X344" s="46">
        <v>0.002053</v>
      </c>
      <c r="Y344" s="46">
        <v>0</v>
      </c>
      <c r="Z344" s="46">
        <v>0</v>
      </c>
      <c r="AA344" s="68">
        <v>344</v>
      </c>
      <c r="AB344" s="68"/>
      <c r="AC344" s="69"/>
      <c r="AD344" s="83" t="s">
        <v>1384</v>
      </c>
      <c r="AE344" s="83"/>
      <c r="AF344" s="83"/>
      <c r="AG344" s="83"/>
      <c r="AH344" s="83"/>
      <c r="AI344" s="83" t="s">
        <v>2422</v>
      </c>
      <c r="AJ344" s="83" t="s">
        <v>2695</v>
      </c>
      <c r="AK344" s="89" t="str">
        <f>HYPERLINK("https://yt3.ggpht.com/ytc/AGIKgqPNUn7pUWnZDNh1ngmsCX9lDOtFOkq7G2PRHbQuvg=s88-c-k-c0x00ffffff-no-rj")</f>
        <v>https://yt3.ggpht.com/ytc/AGIKgqPNUn7pUWnZDNh1ngmsCX9lDOtFOkq7G2PRHbQuvg=s88-c-k-c0x00ffffff-no-rj</v>
      </c>
      <c r="AL344" s="83">
        <v>0</v>
      </c>
      <c r="AM344" s="83">
        <v>0</v>
      </c>
      <c r="AN344" s="83">
        <v>7</v>
      </c>
      <c r="AO344" s="83" t="b">
        <v>0</v>
      </c>
      <c r="AP344" s="83">
        <v>0</v>
      </c>
      <c r="AQ344" s="83"/>
      <c r="AR344" s="83"/>
      <c r="AS344" s="83" t="s">
        <v>2744</v>
      </c>
      <c r="AT344" s="89" t="str">
        <f>HYPERLINK("https://www.youtube.com/channel/UC-5c1IGzc3Ttb8hvdNKgUCg")</f>
        <v>https://www.youtube.com/channel/UC-5c1IGzc3Ttb8hvdNKgUCg</v>
      </c>
      <c r="AU344" s="83" t="str">
        <f>REPLACE(INDEX(GroupVertices[Group],MATCH(Vertices[[#This Row],[Vertex]],GroupVertices[Vertex],0)),1,1,"")</f>
        <v>1</v>
      </c>
      <c r="AV344" s="45"/>
      <c r="AW344" s="46"/>
      <c r="AX344" s="45"/>
      <c r="AY344" s="46"/>
      <c r="AZ344" s="45"/>
      <c r="BA344" s="46"/>
      <c r="BB344" s="45"/>
      <c r="BC344" s="46"/>
      <c r="BD344" s="45"/>
      <c r="BE344" s="110" t="s">
        <v>1874</v>
      </c>
      <c r="BF344" s="110" t="s">
        <v>1874</v>
      </c>
      <c r="BG344" s="110" t="s">
        <v>1874</v>
      </c>
      <c r="BH344" s="110" t="s">
        <v>1874</v>
      </c>
      <c r="BI344" s="2"/>
    </row>
    <row r="345" spans="1:61" ht="15">
      <c r="A345" s="61" t="s">
        <v>547</v>
      </c>
      <c r="B345" s="62" t="s">
        <v>2893</v>
      </c>
      <c r="C345" s="62"/>
      <c r="D345" s="63">
        <v>100</v>
      </c>
      <c r="E345" s="65">
        <v>50</v>
      </c>
      <c r="F345" s="100" t="str">
        <f>HYPERLINK("https://yt3.ggpht.com/wL0MSpfDDdhsKaVQcLam9mT60-EJ2pycpCFQSSwWZisYuQbd9A2DAnY0Om-1Dy7v0kPq-WUSeA=s88-c-k-c0x00ffffff-no-rj")</f>
        <v>https://yt3.ggpht.com/wL0MSpfDDdhsKaVQcLam9mT60-EJ2pycpCFQSSwWZisYuQbd9A2DAnY0Om-1Dy7v0kPq-WUSeA=s88-c-k-c0x00ffffff-no-rj</v>
      </c>
      <c r="G345" s="62"/>
      <c r="H345" s="66" t="s">
        <v>1385</v>
      </c>
      <c r="I345" s="67"/>
      <c r="J345" s="67" t="s">
        <v>159</v>
      </c>
      <c r="K345" s="66" t="s">
        <v>1385</v>
      </c>
      <c r="L345" s="70"/>
      <c r="M345" s="71">
        <v>916.51171875</v>
      </c>
      <c r="N345" s="71">
        <v>4370.349609375</v>
      </c>
      <c r="O345" s="72"/>
      <c r="P345" s="73"/>
      <c r="Q345" s="73"/>
      <c r="R345" s="94"/>
      <c r="S345" s="45">
        <v>0</v>
      </c>
      <c r="T345" s="45">
        <v>1</v>
      </c>
      <c r="U345" s="46">
        <v>0</v>
      </c>
      <c r="V345" s="46">
        <v>0.122455</v>
      </c>
      <c r="W345" s="46">
        <v>0.068916</v>
      </c>
      <c r="X345" s="46">
        <v>0.002053</v>
      </c>
      <c r="Y345" s="46">
        <v>0</v>
      </c>
      <c r="Z345" s="46">
        <v>0</v>
      </c>
      <c r="AA345" s="68">
        <v>345</v>
      </c>
      <c r="AB345" s="68"/>
      <c r="AC345" s="69"/>
      <c r="AD345" s="83" t="s">
        <v>1385</v>
      </c>
      <c r="AE345" s="83" t="s">
        <v>2038</v>
      </c>
      <c r="AF345" s="83"/>
      <c r="AG345" s="83"/>
      <c r="AH345" s="83"/>
      <c r="AI345" s="83" t="s">
        <v>2423</v>
      </c>
      <c r="AJ345" s="83" t="s">
        <v>2696</v>
      </c>
      <c r="AK345" s="89" t="str">
        <f>HYPERLINK("https://yt3.ggpht.com/wL0MSpfDDdhsKaVQcLam9mT60-EJ2pycpCFQSSwWZisYuQbd9A2DAnY0Om-1Dy7v0kPq-WUSeA=s88-c-k-c0x00ffffff-no-rj")</f>
        <v>https://yt3.ggpht.com/wL0MSpfDDdhsKaVQcLam9mT60-EJ2pycpCFQSSwWZisYuQbd9A2DAnY0Om-1Dy7v0kPq-WUSeA=s88-c-k-c0x00ffffff-no-rj</v>
      </c>
      <c r="AL345" s="83">
        <v>116924</v>
      </c>
      <c r="AM345" s="83">
        <v>0</v>
      </c>
      <c r="AN345" s="83">
        <v>276</v>
      </c>
      <c r="AO345" s="83" t="b">
        <v>0</v>
      </c>
      <c r="AP345" s="83">
        <v>31</v>
      </c>
      <c r="AQ345" s="83"/>
      <c r="AR345" s="83"/>
      <c r="AS345" s="83" t="s">
        <v>2744</v>
      </c>
      <c r="AT345" s="89" t="str">
        <f>HYPERLINK("https://www.youtube.com/channel/UC4ADxA6ErYeOe1JI2TSyYcg")</f>
        <v>https://www.youtube.com/channel/UC4ADxA6ErYeOe1JI2TSyYcg</v>
      </c>
      <c r="AU345" s="83" t="str">
        <f>REPLACE(INDEX(GroupVertices[Group],MATCH(Vertices[[#This Row],[Vertex]],GroupVertices[Vertex],0)),1,1,"")</f>
        <v>1</v>
      </c>
      <c r="AV345" s="45"/>
      <c r="AW345" s="46"/>
      <c r="AX345" s="45"/>
      <c r="AY345" s="46"/>
      <c r="AZ345" s="45"/>
      <c r="BA345" s="46"/>
      <c r="BB345" s="45"/>
      <c r="BC345" s="46"/>
      <c r="BD345" s="45"/>
      <c r="BE345" s="110" t="s">
        <v>1874</v>
      </c>
      <c r="BF345" s="110" t="s">
        <v>1874</v>
      </c>
      <c r="BG345" s="110" t="s">
        <v>1874</v>
      </c>
      <c r="BH345" s="110" t="s">
        <v>1874</v>
      </c>
      <c r="BI345" s="2"/>
    </row>
    <row r="346" spans="1:61" ht="15">
      <c r="A346" s="61" t="s">
        <v>548</v>
      </c>
      <c r="B346" s="62" t="s">
        <v>2893</v>
      </c>
      <c r="C346" s="62"/>
      <c r="D346" s="63">
        <v>100</v>
      </c>
      <c r="E346" s="65">
        <v>50</v>
      </c>
      <c r="F346" s="100" t="str">
        <f>HYPERLINK("https://yt3.ggpht.com/ytc/AGIKgqMWxLhFPjWDNArl9wpIxgaggN-QKkphIt-cwg=s88-c-k-c0x00ffffff-no-rj")</f>
        <v>https://yt3.ggpht.com/ytc/AGIKgqMWxLhFPjWDNArl9wpIxgaggN-QKkphIt-cwg=s88-c-k-c0x00ffffff-no-rj</v>
      </c>
      <c r="G346" s="62"/>
      <c r="H346" s="66" t="s">
        <v>1386</v>
      </c>
      <c r="I346" s="67"/>
      <c r="J346" s="67" t="s">
        <v>159</v>
      </c>
      <c r="K346" s="66" t="s">
        <v>1386</v>
      </c>
      <c r="L346" s="70"/>
      <c r="M346" s="71">
        <v>603.0931396484375</v>
      </c>
      <c r="N346" s="71">
        <v>4370.349609375</v>
      </c>
      <c r="O346" s="72"/>
      <c r="P346" s="73"/>
      <c r="Q346" s="73"/>
      <c r="R346" s="94"/>
      <c r="S346" s="45">
        <v>0</v>
      </c>
      <c r="T346" s="45">
        <v>1</v>
      </c>
      <c r="U346" s="46">
        <v>0</v>
      </c>
      <c r="V346" s="46">
        <v>0.122455</v>
      </c>
      <c r="W346" s="46">
        <v>0.068916</v>
      </c>
      <c r="X346" s="46">
        <v>0.002053</v>
      </c>
      <c r="Y346" s="46">
        <v>0</v>
      </c>
      <c r="Z346" s="46">
        <v>0</v>
      </c>
      <c r="AA346" s="68">
        <v>346</v>
      </c>
      <c r="AB346" s="68"/>
      <c r="AC346" s="69"/>
      <c r="AD346" s="83" t="s">
        <v>1386</v>
      </c>
      <c r="AE346" s="83"/>
      <c r="AF346" s="83"/>
      <c r="AG346" s="83"/>
      <c r="AH346" s="83"/>
      <c r="AI346" s="83" t="s">
        <v>2424</v>
      </c>
      <c r="AJ346" s="83" t="s">
        <v>2697</v>
      </c>
      <c r="AK346" s="89" t="str">
        <f>HYPERLINK("https://yt3.ggpht.com/ytc/AGIKgqMWxLhFPjWDNArl9wpIxgaggN-QKkphIt-cwg=s88-c-k-c0x00ffffff-no-rj")</f>
        <v>https://yt3.ggpht.com/ytc/AGIKgqMWxLhFPjWDNArl9wpIxgaggN-QKkphIt-cwg=s88-c-k-c0x00ffffff-no-rj</v>
      </c>
      <c r="AL346" s="83">
        <v>0</v>
      </c>
      <c r="AM346" s="83">
        <v>0</v>
      </c>
      <c r="AN346" s="83">
        <v>0</v>
      </c>
      <c r="AO346" s="83" t="b">
        <v>0</v>
      </c>
      <c r="AP346" s="83">
        <v>0</v>
      </c>
      <c r="AQ346" s="83"/>
      <c r="AR346" s="83"/>
      <c r="AS346" s="83" t="s">
        <v>2744</v>
      </c>
      <c r="AT346" s="89" t="str">
        <f>HYPERLINK("https://www.youtube.com/channel/UCexpPzp9KVbQexJAvytb-tQ")</f>
        <v>https://www.youtube.com/channel/UCexpPzp9KVbQexJAvytb-tQ</v>
      </c>
      <c r="AU346" s="83" t="str">
        <f>REPLACE(INDEX(GroupVertices[Group],MATCH(Vertices[[#This Row],[Vertex]],GroupVertices[Vertex],0)),1,1,"")</f>
        <v>1</v>
      </c>
      <c r="AV346" s="45"/>
      <c r="AW346" s="46"/>
      <c r="AX346" s="45"/>
      <c r="AY346" s="46"/>
      <c r="AZ346" s="45"/>
      <c r="BA346" s="46"/>
      <c r="BB346" s="45"/>
      <c r="BC346" s="46"/>
      <c r="BD346" s="45"/>
      <c r="BE346" s="110" t="s">
        <v>1874</v>
      </c>
      <c r="BF346" s="110" t="s">
        <v>1874</v>
      </c>
      <c r="BG346" s="110" t="s">
        <v>1874</v>
      </c>
      <c r="BH346" s="110" t="s">
        <v>1874</v>
      </c>
      <c r="BI346" s="2"/>
    </row>
    <row r="347" spans="1:61" ht="15">
      <c r="A347" s="61" t="s">
        <v>549</v>
      </c>
      <c r="B347" s="62" t="s">
        <v>2893</v>
      </c>
      <c r="C347" s="62"/>
      <c r="D347" s="63">
        <v>100</v>
      </c>
      <c r="E347" s="65">
        <v>50</v>
      </c>
      <c r="F347" s="100" t="str">
        <f>HYPERLINK("https://yt3.ggpht.com/ytc/AGIKgqPspUXtVSsKNutQBJXS55xPmncIX2TU57SaymiCmgk=s88-c-k-c0x00ffffff-no-rj")</f>
        <v>https://yt3.ggpht.com/ytc/AGIKgqPspUXtVSsKNutQBJXS55xPmncIX2TU57SaymiCmgk=s88-c-k-c0x00ffffff-no-rj</v>
      </c>
      <c r="G347" s="62"/>
      <c r="H347" s="66" t="s">
        <v>1387</v>
      </c>
      <c r="I347" s="67"/>
      <c r="J347" s="67" t="s">
        <v>159</v>
      </c>
      <c r="K347" s="66" t="s">
        <v>1387</v>
      </c>
      <c r="L347" s="70"/>
      <c r="M347" s="71">
        <v>289.6746826171875</v>
      </c>
      <c r="N347" s="71">
        <v>4370.349609375</v>
      </c>
      <c r="O347" s="72"/>
      <c r="P347" s="73"/>
      <c r="Q347" s="73"/>
      <c r="R347" s="94"/>
      <c r="S347" s="45">
        <v>0</v>
      </c>
      <c r="T347" s="45">
        <v>1</v>
      </c>
      <c r="U347" s="46">
        <v>0</v>
      </c>
      <c r="V347" s="46">
        <v>0.122455</v>
      </c>
      <c r="W347" s="46">
        <v>0.068916</v>
      </c>
      <c r="X347" s="46">
        <v>0.002053</v>
      </c>
      <c r="Y347" s="46">
        <v>0</v>
      </c>
      <c r="Z347" s="46">
        <v>0</v>
      </c>
      <c r="AA347" s="68">
        <v>347</v>
      </c>
      <c r="AB347" s="68"/>
      <c r="AC347" s="69"/>
      <c r="AD347" s="83" t="s">
        <v>1387</v>
      </c>
      <c r="AE347" s="83"/>
      <c r="AF347" s="83"/>
      <c r="AG347" s="83"/>
      <c r="AH347" s="83"/>
      <c r="AI347" s="83" t="s">
        <v>2425</v>
      </c>
      <c r="AJ347" s="83" t="s">
        <v>2698</v>
      </c>
      <c r="AK347" s="89" t="str">
        <f>HYPERLINK("https://yt3.ggpht.com/ytc/AGIKgqPspUXtVSsKNutQBJXS55xPmncIX2TU57SaymiCmgk=s88-c-k-c0x00ffffff-no-rj")</f>
        <v>https://yt3.ggpht.com/ytc/AGIKgqPspUXtVSsKNutQBJXS55xPmncIX2TU57SaymiCmgk=s88-c-k-c0x00ffffff-no-rj</v>
      </c>
      <c r="AL347" s="83">
        <v>2926</v>
      </c>
      <c r="AM347" s="83">
        <v>0</v>
      </c>
      <c r="AN347" s="83">
        <v>11</v>
      </c>
      <c r="AO347" s="83" t="b">
        <v>0</v>
      </c>
      <c r="AP347" s="83">
        <v>2</v>
      </c>
      <c r="AQ347" s="83"/>
      <c r="AR347" s="83"/>
      <c r="AS347" s="83" t="s">
        <v>2744</v>
      </c>
      <c r="AT347" s="89" t="str">
        <f>HYPERLINK("https://www.youtube.com/channel/UCcavxBtx_PfYmHzROwXsPFw")</f>
        <v>https://www.youtube.com/channel/UCcavxBtx_PfYmHzROwXsPFw</v>
      </c>
      <c r="AU347" s="83" t="str">
        <f>REPLACE(INDEX(GroupVertices[Group],MATCH(Vertices[[#This Row],[Vertex]],GroupVertices[Vertex],0)),1,1,"")</f>
        <v>1</v>
      </c>
      <c r="AV347" s="45"/>
      <c r="AW347" s="46"/>
      <c r="AX347" s="45"/>
      <c r="AY347" s="46"/>
      <c r="AZ347" s="45"/>
      <c r="BA347" s="46"/>
      <c r="BB347" s="45"/>
      <c r="BC347" s="46"/>
      <c r="BD347" s="45"/>
      <c r="BE347" s="110" t="s">
        <v>1874</v>
      </c>
      <c r="BF347" s="110" t="s">
        <v>1874</v>
      </c>
      <c r="BG347" s="110" t="s">
        <v>1874</v>
      </c>
      <c r="BH347" s="110" t="s">
        <v>1874</v>
      </c>
      <c r="BI347" s="2"/>
    </row>
    <row r="348" spans="1:61" ht="15">
      <c r="A348" s="61" t="s">
        <v>550</v>
      </c>
      <c r="B348" s="62" t="s">
        <v>2894</v>
      </c>
      <c r="C348" s="62"/>
      <c r="D348" s="63">
        <v>100</v>
      </c>
      <c r="E348" s="65">
        <v>50</v>
      </c>
      <c r="F348" s="100" t="str">
        <f>HYPERLINK("https://yt3.ggpht.com/ytc/AGIKgqNH_2CfTnH6CVyAbnsq4kb8bB4D2c6C3zmeO-i18w=s88-c-k-c0x00ffffff-no-rj")</f>
        <v>https://yt3.ggpht.com/ytc/AGIKgqNH_2CfTnH6CVyAbnsq4kb8bB4D2c6C3zmeO-i18w=s88-c-k-c0x00ffffff-no-rj</v>
      </c>
      <c r="G348" s="62"/>
      <c r="H348" s="66" t="s">
        <v>1388</v>
      </c>
      <c r="I348" s="67"/>
      <c r="J348" s="67" t="s">
        <v>159</v>
      </c>
      <c r="K348" s="66" t="s">
        <v>1388</v>
      </c>
      <c r="L348" s="70"/>
      <c r="M348" s="71">
        <v>7197.41845703125</v>
      </c>
      <c r="N348" s="71">
        <v>9454.111328125</v>
      </c>
      <c r="O348" s="72"/>
      <c r="P348" s="73"/>
      <c r="Q348" s="73"/>
      <c r="R348" s="94"/>
      <c r="S348" s="45">
        <v>0</v>
      </c>
      <c r="T348" s="45">
        <v>2</v>
      </c>
      <c r="U348" s="46">
        <v>4000</v>
      </c>
      <c r="V348" s="46">
        <v>0.143036</v>
      </c>
      <c r="W348" s="46">
        <v>0.069777</v>
      </c>
      <c r="X348" s="46">
        <v>0.002111</v>
      </c>
      <c r="Y348" s="46">
        <v>0</v>
      </c>
      <c r="Z348" s="46">
        <v>0</v>
      </c>
      <c r="AA348" s="68">
        <v>348</v>
      </c>
      <c r="AB348" s="68"/>
      <c r="AC348" s="69"/>
      <c r="AD348" s="83" t="s">
        <v>1388</v>
      </c>
      <c r="AE348" s="83"/>
      <c r="AF348" s="83"/>
      <c r="AG348" s="83"/>
      <c r="AH348" s="83"/>
      <c r="AI348" s="83" t="s">
        <v>2426</v>
      </c>
      <c r="AJ348" s="83" t="s">
        <v>2699</v>
      </c>
      <c r="AK348" s="89" t="str">
        <f>HYPERLINK("https://yt3.ggpht.com/ytc/AGIKgqNH_2CfTnH6CVyAbnsq4kb8bB4D2c6C3zmeO-i18w=s88-c-k-c0x00ffffff-no-rj")</f>
        <v>https://yt3.ggpht.com/ytc/AGIKgqNH_2CfTnH6CVyAbnsq4kb8bB4D2c6C3zmeO-i18w=s88-c-k-c0x00ffffff-no-rj</v>
      </c>
      <c r="AL348" s="83">
        <v>159</v>
      </c>
      <c r="AM348" s="83">
        <v>0</v>
      </c>
      <c r="AN348" s="83">
        <v>17</v>
      </c>
      <c r="AO348" s="83" t="b">
        <v>0</v>
      </c>
      <c r="AP348" s="83">
        <v>1</v>
      </c>
      <c r="AQ348" s="83"/>
      <c r="AR348" s="83"/>
      <c r="AS348" s="83" t="s">
        <v>2744</v>
      </c>
      <c r="AT348" s="89" t="str">
        <f>HYPERLINK("https://www.youtube.com/channel/UCpiHKaPkHj7YkOPgiCCdSWw")</f>
        <v>https://www.youtube.com/channel/UCpiHKaPkHj7YkOPgiCCdSWw</v>
      </c>
      <c r="AU348" s="83" t="str">
        <f>REPLACE(INDEX(GroupVertices[Group],MATCH(Vertices[[#This Row],[Vertex]],GroupVertices[Vertex],0)),1,1,"")</f>
        <v>7</v>
      </c>
      <c r="AV348" s="45"/>
      <c r="AW348" s="46"/>
      <c r="AX348" s="45"/>
      <c r="AY348" s="46"/>
      <c r="AZ348" s="45"/>
      <c r="BA348" s="46"/>
      <c r="BB348" s="45"/>
      <c r="BC348" s="46"/>
      <c r="BD348" s="45"/>
      <c r="BE348" s="110" t="s">
        <v>1874</v>
      </c>
      <c r="BF348" s="110" t="s">
        <v>1874</v>
      </c>
      <c r="BG348" s="110" t="s">
        <v>1874</v>
      </c>
      <c r="BH348" s="110" t="s">
        <v>1874</v>
      </c>
      <c r="BI348" s="2"/>
    </row>
    <row r="349" spans="1:61" ht="15">
      <c r="A349" s="61" t="s">
        <v>551</v>
      </c>
      <c r="B349" s="62" t="s">
        <v>2893</v>
      </c>
      <c r="C349" s="62"/>
      <c r="D349" s="63">
        <v>100</v>
      </c>
      <c r="E349" s="65">
        <v>50</v>
      </c>
      <c r="F349" s="100" t="str">
        <f>HYPERLINK("https://yt3.ggpht.com/ytc/AGIKgqPOldmcGZaPLqJE18R4_mbdFKrOTZfglqxiy3tSMQ=s88-c-k-c0x00ffffff-no-rj")</f>
        <v>https://yt3.ggpht.com/ytc/AGIKgqPOldmcGZaPLqJE18R4_mbdFKrOTZfglqxiy3tSMQ=s88-c-k-c0x00ffffff-no-rj</v>
      </c>
      <c r="G349" s="62"/>
      <c r="H349" s="66" t="s">
        <v>1389</v>
      </c>
      <c r="I349" s="67"/>
      <c r="J349" s="67" t="s">
        <v>159</v>
      </c>
      <c r="K349" s="66" t="s">
        <v>1389</v>
      </c>
      <c r="L349" s="70"/>
      <c r="M349" s="71">
        <v>2170.185791015625</v>
      </c>
      <c r="N349" s="71">
        <v>4999.5</v>
      </c>
      <c r="O349" s="72"/>
      <c r="P349" s="73"/>
      <c r="Q349" s="73"/>
      <c r="R349" s="94"/>
      <c r="S349" s="45">
        <v>0</v>
      </c>
      <c r="T349" s="45">
        <v>1</v>
      </c>
      <c r="U349" s="46">
        <v>0</v>
      </c>
      <c r="V349" s="46">
        <v>0.122455</v>
      </c>
      <c r="W349" s="46">
        <v>0.068916</v>
      </c>
      <c r="X349" s="46">
        <v>0.002053</v>
      </c>
      <c r="Y349" s="46">
        <v>0</v>
      </c>
      <c r="Z349" s="46">
        <v>0</v>
      </c>
      <c r="AA349" s="68">
        <v>349</v>
      </c>
      <c r="AB349" s="68"/>
      <c r="AC349" s="69"/>
      <c r="AD349" s="83" t="s">
        <v>1389</v>
      </c>
      <c r="AE349" s="83"/>
      <c r="AF349" s="83"/>
      <c r="AG349" s="83"/>
      <c r="AH349" s="83"/>
      <c r="AI349" s="83" t="s">
        <v>2427</v>
      </c>
      <c r="AJ349" s="92">
        <v>43075.758356481485</v>
      </c>
      <c r="AK349" s="89" t="str">
        <f>HYPERLINK("https://yt3.ggpht.com/ytc/AGIKgqPOldmcGZaPLqJE18R4_mbdFKrOTZfglqxiy3tSMQ=s88-c-k-c0x00ffffff-no-rj")</f>
        <v>https://yt3.ggpht.com/ytc/AGIKgqPOldmcGZaPLqJE18R4_mbdFKrOTZfglqxiy3tSMQ=s88-c-k-c0x00ffffff-no-rj</v>
      </c>
      <c r="AL349" s="83">
        <v>21</v>
      </c>
      <c r="AM349" s="83">
        <v>0</v>
      </c>
      <c r="AN349" s="83">
        <v>85</v>
      </c>
      <c r="AO349" s="83" t="b">
        <v>0</v>
      </c>
      <c r="AP349" s="83">
        <v>1</v>
      </c>
      <c r="AQ349" s="83"/>
      <c r="AR349" s="83"/>
      <c r="AS349" s="83" t="s">
        <v>2744</v>
      </c>
      <c r="AT349" s="89" t="str">
        <f>HYPERLINK("https://www.youtube.com/channel/UCje-9ZIm60JB3IzfcpmUQhA")</f>
        <v>https://www.youtube.com/channel/UCje-9ZIm60JB3IzfcpmUQhA</v>
      </c>
      <c r="AU349" s="83" t="str">
        <f>REPLACE(INDEX(GroupVertices[Group],MATCH(Vertices[[#This Row],[Vertex]],GroupVertices[Vertex],0)),1,1,"")</f>
        <v>1</v>
      </c>
      <c r="AV349" s="45"/>
      <c r="AW349" s="46"/>
      <c r="AX349" s="45"/>
      <c r="AY349" s="46"/>
      <c r="AZ349" s="45"/>
      <c r="BA349" s="46"/>
      <c r="BB349" s="45"/>
      <c r="BC349" s="46"/>
      <c r="BD349" s="45"/>
      <c r="BE349" s="110" t="s">
        <v>1874</v>
      </c>
      <c r="BF349" s="110" t="s">
        <v>1874</v>
      </c>
      <c r="BG349" s="110" t="s">
        <v>1874</v>
      </c>
      <c r="BH349" s="110" t="s">
        <v>1874</v>
      </c>
      <c r="BI349" s="2"/>
    </row>
    <row r="350" spans="1:61" ht="15">
      <c r="A350" s="61" t="s">
        <v>552</v>
      </c>
      <c r="B350" s="62" t="s">
        <v>2893</v>
      </c>
      <c r="C350" s="62"/>
      <c r="D350" s="63">
        <v>100</v>
      </c>
      <c r="E350" s="65">
        <v>50</v>
      </c>
      <c r="F350" s="100" t="str">
        <f>HYPERLINK("https://yt3.ggpht.com/ytc/AGIKgqPdfsQ5Btjt5AKH4vcI0Grzpa89MSyO6295wxD6=s88-c-k-c0x00ffffff-no-rj")</f>
        <v>https://yt3.ggpht.com/ytc/AGIKgqPdfsQ5Btjt5AKH4vcI0Grzpa89MSyO6295wxD6=s88-c-k-c0x00ffffff-no-rj</v>
      </c>
      <c r="G350" s="62"/>
      <c r="H350" s="66" t="s">
        <v>1390</v>
      </c>
      <c r="I350" s="67"/>
      <c r="J350" s="67" t="s">
        <v>159</v>
      </c>
      <c r="K350" s="66" t="s">
        <v>1390</v>
      </c>
      <c r="L350" s="70"/>
      <c r="M350" s="71">
        <v>1856.76708984375</v>
      </c>
      <c r="N350" s="71">
        <v>4999.5</v>
      </c>
      <c r="O350" s="72"/>
      <c r="P350" s="73"/>
      <c r="Q350" s="73"/>
      <c r="R350" s="94"/>
      <c r="S350" s="45">
        <v>0</v>
      </c>
      <c r="T350" s="45">
        <v>1</v>
      </c>
      <c r="U350" s="46">
        <v>0</v>
      </c>
      <c r="V350" s="46">
        <v>0.122455</v>
      </c>
      <c r="W350" s="46">
        <v>0.068916</v>
      </c>
      <c r="X350" s="46">
        <v>0.002053</v>
      </c>
      <c r="Y350" s="46">
        <v>0</v>
      </c>
      <c r="Z350" s="46">
        <v>0</v>
      </c>
      <c r="AA350" s="68">
        <v>350</v>
      </c>
      <c r="AB350" s="68"/>
      <c r="AC350" s="69"/>
      <c r="AD350" s="83" t="s">
        <v>1390</v>
      </c>
      <c r="AE350" s="83" t="s">
        <v>2039</v>
      </c>
      <c r="AF350" s="83"/>
      <c r="AG350" s="83"/>
      <c r="AH350" s="83"/>
      <c r="AI350" s="83" t="s">
        <v>2428</v>
      </c>
      <c r="AJ350" s="92">
        <v>38724.826840277776</v>
      </c>
      <c r="AK350" s="89" t="str">
        <f>HYPERLINK("https://yt3.ggpht.com/ytc/AGIKgqPdfsQ5Btjt5AKH4vcI0Grzpa89MSyO6295wxD6=s88-c-k-c0x00ffffff-no-rj")</f>
        <v>https://yt3.ggpht.com/ytc/AGIKgqPdfsQ5Btjt5AKH4vcI0Grzpa89MSyO6295wxD6=s88-c-k-c0x00ffffff-no-rj</v>
      </c>
      <c r="AL350" s="83">
        <v>30953</v>
      </c>
      <c r="AM350" s="83">
        <v>0</v>
      </c>
      <c r="AN350" s="83">
        <v>24</v>
      </c>
      <c r="AO350" s="83" t="b">
        <v>0</v>
      </c>
      <c r="AP350" s="83">
        <v>63</v>
      </c>
      <c r="AQ350" s="83"/>
      <c r="AR350" s="83"/>
      <c r="AS350" s="83" t="s">
        <v>2744</v>
      </c>
      <c r="AT350" s="89" t="str">
        <f>HYPERLINK("https://www.youtube.com/channel/UCqy0ekWdha_X7pGbUhH7r0A")</f>
        <v>https://www.youtube.com/channel/UCqy0ekWdha_X7pGbUhH7r0A</v>
      </c>
      <c r="AU350" s="83" t="str">
        <f>REPLACE(INDEX(GroupVertices[Group],MATCH(Vertices[[#This Row],[Vertex]],GroupVertices[Vertex],0)),1,1,"")</f>
        <v>1</v>
      </c>
      <c r="AV350" s="45"/>
      <c r="AW350" s="46"/>
      <c r="AX350" s="45"/>
      <c r="AY350" s="46"/>
      <c r="AZ350" s="45"/>
      <c r="BA350" s="46"/>
      <c r="BB350" s="45"/>
      <c r="BC350" s="46"/>
      <c r="BD350" s="45"/>
      <c r="BE350" s="110" t="s">
        <v>1874</v>
      </c>
      <c r="BF350" s="110" t="s">
        <v>1874</v>
      </c>
      <c r="BG350" s="110" t="s">
        <v>1874</v>
      </c>
      <c r="BH350" s="110" t="s">
        <v>1874</v>
      </c>
      <c r="BI350" s="2"/>
    </row>
    <row r="351" spans="1:61" ht="15">
      <c r="A351" s="61" t="s">
        <v>553</v>
      </c>
      <c r="B351" s="62" t="s">
        <v>2893</v>
      </c>
      <c r="C351" s="62"/>
      <c r="D351" s="63">
        <v>100</v>
      </c>
      <c r="E351" s="65">
        <v>50</v>
      </c>
      <c r="F351" s="100" t="str">
        <f>HYPERLINK("https://yt3.ggpht.com/ytc/AGIKgqMMMHSooT9VdWJ2pjhvIBrizmFVMTgyYrDrJaMTLg=s88-c-k-c0x00ffffff-no-rj")</f>
        <v>https://yt3.ggpht.com/ytc/AGIKgqMMMHSooT9VdWJ2pjhvIBrizmFVMTgyYrDrJaMTLg=s88-c-k-c0x00ffffff-no-rj</v>
      </c>
      <c r="G351" s="62"/>
      <c r="H351" s="66" t="s">
        <v>1391</v>
      </c>
      <c r="I351" s="67"/>
      <c r="J351" s="67" t="s">
        <v>159</v>
      </c>
      <c r="K351" s="66" t="s">
        <v>1391</v>
      </c>
      <c r="L351" s="70"/>
      <c r="M351" s="71">
        <v>1543.3487548828125</v>
      </c>
      <c r="N351" s="71">
        <v>4999.5</v>
      </c>
      <c r="O351" s="72"/>
      <c r="P351" s="73"/>
      <c r="Q351" s="73"/>
      <c r="R351" s="94"/>
      <c r="S351" s="45">
        <v>0</v>
      </c>
      <c r="T351" s="45">
        <v>1</v>
      </c>
      <c r="U351" s="46">
        <v>0</v>
      </c>
      <c r="V351" s="46">
        <v>0.122455</v>
      </c>
      <c r="W351" s="46">
        <v>0.068916</v>
      </c>
      <c r="X351" s="46">
        <v>0.002053</v>
      </c>
      <c r="Y351" s="46">
        <v>0</v>
      </c>
      <c r="Z351" s="46">
        <v>0</v>
      </c>
      <c r="AA351" s="68">
        <v>351</v>
      </c>
      <c r="AB351" s="68"/>
      <c r="AC351" s="69"/>
      <c r="AD351" s="83" t="s">
        <v>1391</v>
      </c>
      <c r="AE351" s="83" t="s">
        <v>2040</v>
      </c>
      <c r="AF351" s="83"/>
      <c r="AG351" s="83"/>
      <c r="AH351" s="83"/>
      <c r="AI351" s="83" t="s">
        <v>2429</v>
      </c>
      <c r="AJ351" s="83" t="s">
        <v>2700</v>
      </c>
      <c r="AK351" s="89" t="str">
        <f>HYPERLINK("https://yt3.ggpht.com/ytc/AGIKgqMMMHSooT9VdWJ2pjhvIBrizmFVMTgyYrDrJaMTLg=s88-c-k-c0x00ffffff-no-rj")</f>
        <v>https://yt3.ggpht.com/ytc/AGIKgqMMMHSooT9VdWJ2pjhvIBrizmFVMTgyYrDrJaMTLg=s88-c-k-c0x00ffffff-no-rj</v>
      </c>
      <c r="AL351" s="83">
        <v>3</v>
      </c>
      <c r="AM351" s="83">
        <v>0</v>
      </c>
      <c r="AN351" s="83">
        <v>3</v>
      </c>
      <c r="AO351" s="83" t="b">
        <v>0</v>
      </c>
      <c r="AP351" s="83">
        <v>1</v>
      </c>
      <c r="AQ351" s="83"/>
      <c r="AR351" s="83"/>
      <c r="AS351" s="83" t="s">
        <v>2744</v>
      </c>
      <c r="AT351" s="89" t="str">
        <f>HYPERLINK("https://www.youtube.com/channel/UCsePoG1ZhWfUTg2efbyvS8w")</f>
        <v>https://www.youtube.com/channel/UCsePoG1ZhWfUTg2efbyvS8w</v>
      </c>
      <c r="AU351" s="83" t="str">
        <f>REPLACE(INDEX(GroupVertices[Group],MATCH(Vertices[[#This Row],[Vertex]],GroupVertices[Vertex],0)),1,1,"")</f>
        <v>1</v>
      </c>
      <c r="AV351" s="45"/>
      <c r="AW351" s="46"/>
      <c r="AX351" s="45"/>
      <c r="AY351" s="46"/>
      <c r="AZ351" s="45"/>
      <c r="BA351" s="46"/>
      <c r="BB351" s="45"/>
      <c r="BC351" s="46"/>
      <c r="BD351" s="45"/>
      <c r="BE351" s="110" t="s">
        <v>1874</v>
      </c>
      <c r="BF351" s="110" t="s">
        <v>1874</v>
      </c>
      <c r="BG351" s="110" t="s">
        <v>1874</v>
      </c>
      <c r="BH351" s="110" t="s">
        <v>1874</v>
      </c>
      <c r="BI351" s="2"/>
    </row>
    <row r="352" spans="1:61" ht="15">
      <c r="A352" s="61" t="s">
        <v>554</v>
      </c>
      <c r="B352" s="62" t="s">
        <v>2893</v>
      </c>
      <c r="C352" s="62"/>
      <c r="D352" s="63">
        <v>100</v>
      </c>
      <c r="E352" s="65">
        <v>50</v>
      </c>
      <c r="F352" s="100" t="str">
        <f>HYPERLINK("https://yt3.ggpht.com/ytc/AGIKgqN-Ru5qcf3VqD1IYnjY5bDal-YCx4EV92x2n9Ce=s88-c-k-c0x00ffffff-no-rj")</f>
        <v>https://yt3.ggpht.com/ytc/AGIKgqN-Ru5qcf3VqD1IYnjY5bDal-YCx4EV92x2n9Ce=s88-c-k-c0x00ffffff-no-rj</v>
      </c>
      <c r="G352" s="62"/>
      <c r="H352" s="66" t="s">
        <v>1392</v>
      </c>
      <c r="I352" s="67"/>
      <c r="J352" s="67" t="s">
        <v>159</v>
      </c>
      <c r="K352" s="66" t="s">
        <v>1392</v>
      </c>
      <c r="L352" s="70"/>
      <c r="M352" s="71">
        <v>1229.93017578125</v>
      </c>
      <c r="N352" s="71">
        <v>4999.5</v>
      </c>
      <c r="O352" s="72"/>
      <c r="P352" s="73"/>
      <c r="Q352" s="73"/>
      <c r="R352" s="94"/>
      <c r="S352" s="45">
        <v>0</v>
      </c>
      <c r="T352" s="45">
        <v>1</v>
      </c>
      <c r="U352" s="46">
        <v>0</v>
      </c>
      <c r="V352" s="46">
        <v>0.122455</v>
      </c>
      <c r="W352" s="46">
        <v>0.068916</v>
      </c>
      <c r="X352" s="46">
        <v>0.002053</v>
      </c>
      <c r="Y352" s="46">
        <v>0</v>
      </c>
      <c r="Z352" s="46">
        <v>0</v>
      </c>
      <c r="AA352" s="68">
        <v>352</v>
      </c>
      <c r="AB352" s="68"/>
      <c r="AC352" s="69"/>
      <c r="AD352" s="83" t="s">
        <v>1392</v>
      </c>
      <c r="AE352" s="83"/>
      <c r="AF352" s="83"/>
      <c r="AG352" s="83"/>
      <c r="AH352" s="83"/>
      <c r="AI352" s="83" t="s">
        <v>2430</v>
      </c>
      <c r="AJ352" s="92">
        <v>42430.57686342593</v>
      </c>
      <c r="AK352" s="89" t="str">
        <f>HYPERLINK("https://yt3.ggpht.com/ytc/AGIKgqN-Ru5qcf3VqD1IYnjY5bDal-YCx4EV92x2n9Ce=s88-c-k-c0x00ffffff-no-rj")</f>
        <v>https://yt3.ggpht.com/ytc/AGIKgqN-Ru5qcf3VqD1IYnjY5bDal-YCx4EV92x2n9Ce=s88-c-k-c0x00ffffff-no-rj</v>
      </c>
      <c r="AL352" s="83">
        <v>0</v>
      </c>
      <c r="AM352" s="83">
        <v>0</v>
      </c>
      <c r="AN352" s="83">
        <v>42</v>
      </c>
      <c r="AO352" s="83" t="b">
        <v>0</v>
      </c>
      <c r="AP352" s="83">
        <v>0</v>
      </c>
      <c r="AQ352" s="83"/>
      <c r="AR352" s="83"/>
      <c r="AS352" s="83" t="s">
        <v>2744</v>
      </c>
      <c r="AT352" s="89" t="str">
        <f>HYPERLINK("https://www.youtube.com/channel/UC8mKunOp0S4Ln7hctcPHJQA")</f>
        <v>https://www.youtube.com/channel/UC8mKunOp0S4Ln7hctcPHJQA</v>
      </c>
      <c r="AU352" s="83" t="str">
        <f>REPLACE(INDEX(GroupVertices[Group],MATCH(Vertices[[#This Row],[Vertex]],GroupVertices[Vertex],0)),1,1,"")</f>
        <v>1</v>
      </c>
      <c r="AV352" s="45"/>
      <c r="AW352" s="46"/>
      <c r="AX352" s="45"/>
      <c r="AY352" s="46"/>
      <c r="AZ352" s="45"/>
      <c r="BA352" s="46"/>
      <c r="BB352" s="45"/>
      <c r="BC352" s="46"/>
      <c r="BD352" s="45"/>
      <c r="BE352" s="110" t="s">
        <v>1874</v>
      </c>
      <c r="BF352" s="110" t="s">
        <v>1874</v>
      </c>
      <c r="BG352" s="110" t="s">
        <v>1874</v>
      </c>
      <c r="BH352" s="110" t="s">
        <v>1874</v>
      </c>
      <c r="BI352" s="2"/>
    </row>
    <row r="353" spans="1:61" ht="15">
      <c r="A353" s="61" t="s">
        <v>555</v>
      </c>
      <c r="B353" s="62" t="s">
        <v>2893</v>
      </c>
      <c r="C353" s="62"/>
      <c r="D353" s="63">
        <v>100</v>
      </c>
      <c r="E353" s="65">
        <v>50</v>
      </c>
      <c r="F353" s="100" t="str">
        <f>HYPERLINK("https://yt3.ggpht.com/ytc/AGIKgqN-2qsF-kKOCruguKylyO8ZGOyK6FnZxgxM5Mac=s88-c-k-c0x00ffffff-no-rj")</f>
        <v>https://yt3.ggpht.com/ytc/AGIKgqN-2qsF-kKOCruguKylyO8ZGOyK6FnZxgxM5Mac=s88-c-k-c0x00ffffff-no-rj</v>
      </c>
      <c r="G353" s="62"/>
      <c r="H353" s="66" t="s">
        <v>1393</v>
      </c>
      <c r="I353" s="67"/>
      <c r="J353" s="67" t="s">
        <v>159</v>
      </c>
      <c r="K353" s="66" t="s">
        <v>1393</v>
      </c>
      <c r="L353" s="70"/>
      <c r="M353" s="71">
        <v>916.51171875</v>
      </c>
      <c r="N353" s="71">
        <v>4999.5</v>
      </c>
      <c r="O353" s="72"/>
      <c r="P353" s="73"/>
      <c r="Q353" s="73"/>
      <c r="R353" s="94"/>
      <c r="S353" s="45">
        <v>0</v>
      </c>
      <c r="T353" s="45">
        <v>1</v>
      </c>
      <c r="U353" s="46">
        <v>0</v>
      </c>
      <c r="V353" s="46">
        <v>0.122455</v>
      </c>
      <c r="W353" s="46">
        <v>0.068916</v>
      </c>
      <c r="X353" s="46">
        <v>0.002053</v>
      </c>
      <c r="Y353" s="46">
        <v>0</v>
      </c>
      <c r="Z353" s="46">
        <v>0</v>
      </c>
      <c r="AA353" s="68">
        <v>353</v>
      </c>
      <c r="AB353" s="68"/>
      <c r="AC353" s="69"/>
      <c r="AD353" s="83" t="s">
        <v>1393</v>
      </c>
      <c r="AE353" s="83" t="s">
        <v>2041</v>
      </c>
      <c r="AF353" s="83"/>
      <c r="AG353" s="83"/>
      <c r="AH353" s="83"/>
      <c r="AI353" s="83" t="s">
        <v>2431</v>
      </c>
      <c r="AJ353" s="83" t="s">
        <v>2701</v>
      </c>
      <c r="AK353" s="89" t="str">
        <f>HYPERLINK("https://yt3.ggpht.com/ytc/AGIKgqN-2qsF-kKOCruguKylyO8ZGOyK6FnZxgxM5Mac=s88-c-k-c0x00ffffff-no-rj")</f>
        <v>https://yt3.ggpht.com/ytc/AGIKgqN-2qsF-kKOCruguKylyO8ZGOyK6FnZxgxM5Mac=s88-c-k-c0x00ffffff-no-rj</v>
      </c>
      <c r="AL353" s="83">
        <v>9657</v>
      </c>
      <c r="AM353" s="83">
        <v>0</v>
      </c>
      <c r="AN353" s="83">
        <v>1590</v>
      </c>
      <c r="AO353" s="83" t="b">
        <v>0</v>
      </c>
      <c r="AP353" s="83">
        <v>4</v>
      </c>
      <c r="AQ353" s="83"/>
      <c r="AR353" s="83"/>
      <c r="AS353" s="83" t="s">
        <v>2744</v>
      </c>
      <c r="AT353" s="89" t="str">
        <f>HYPERLINK("https://www.youtube.com/channel/UCg5pjmjkEK7DdgS8XG_M46A")</f>
        <v>https://www.youtube.com/channel/UCg5pjmjkEK7DdgS8XG_M46A</v>
      </c>
      <c r="AU353" s="83" t="str">
        <f>REPLACE(INDEX(GroupVertices[Group],MATCH(Vertices[[#This Row],[Vertex]],GroupVertices[Vertex],0)),1,1,"")</f>
        <v>1</v>
      </c>
      <c r="AV353" s="45"/>
      <c r="AW353" s="46"/>
      <c r="AX353" s="45"/>
      <c r="AY353" s="46"/>
      <c r="AZ353" s="45"/>
      <c r="BA353" s="46"/>
      <c r="BB353" s="45"/>
      <c r="BC353" s="46"/>
      <c r="BD353" s="45"/>
      <c r="BE353" s="110" t="s">
        <v>1874</v>
      </c>
      <c r="BF353" s="110" t="s">
        <v>1874</v>
      </c>
      <c r="BG353" s="110" t="s">
        <v>1874</v>
      </c>
      <c r="BH353" s="110" t="s">
        <v>1874</v>
      </c>
      <c r="BI353" s="2"/>
    </row>
    <row r="354" spans="1:61" ht="15">
      <c r="A354" s="61" t="s">
        <v>556</v>
      </c>
      <c r="B354" s="62" t="s">
        <v>2893</v>
      </c>
      <c r="C354" s="62"/>
      <c r="D354" s="63">
        <v>100</v>
      </c>
      <c r="E354" s="65">
        <v>50</v>
      </c>
      <c r="F354" s="100" t="str">
        <f>HYPERLINK("https://yt3.ggpht.com/ytc/AGIKgqOdANk-FAwtyndvE_Jig8ifiJXFDCCZOI1aVTn7w7c=s88-c-k-c0x00ffffff-no-rj")</f>
        <v>https://yt3.ggpht.com/ytc/AGIKgqOdANk-FAwtyndvE_Jig8ifiJXFDCCZOI1aVTn7w7c=s88-c-k-c0x00ffffff-no-rj</v>
      </c>
      <c r="G354" s="62"/>
      <c r="H354" s="66" t="s">
        <v>1394</v>
      </c>
      <c r="I354" s="67"/>
      <c r="J354" s="67" t="s">
        <v>159</v>
      </c>
      <c r="K354" s="66" t="s">
        <v>1394</v>
      </c>
      <c r="L354" s="70"/>
      <c r="M354" s="71">
        <v>603.0931396484375</v>
      </c>
      <c r="N354" s="71">
        <v>4999.5</v>
      </c>
      <c r="O354" s="72"/>
      <c r="P354" s="73"/>
      <c r="Q354" s="73"/>
      <c r="R354" s="94"/>
      <c r="S354" s="45">
        <v>0</v>
      </c>
      <c r="T354" s="45">
        <v>1</v>
      </c>
      <c r="U354" s="46">
        <v>0</v>
      </c>
      <c r="V354" s="46">
        <v>0.122455</v>
      </c>
      <c r="W354" s="46">
        <v>0.068916</v>
      </c>
      <c r="X354" s="46">
        <v>0.002053</v>
      </c>
      <c r="Y354" s="46">
        <v>0</v>
      </c>
      <c r="Z354" s="46">
        <v>0</v>
      </c>
      <c r="AA354" s="68">
        <v>354</v>
      </c>
      <c r="AB354" s="68"/>
      <c r="AC354" s="69"/>
      <c r="AD354" s="83" t="s">
        <v>1394</v>
      </c>
      <c r="AE354" s="83" t="s">
        <v>2042</v>
      </c>
      <c r="AF354" s="83"/>
      <c r="AG354" s="83"/>
      <c r="AH354" s="83"/>
      <c r="AI354" s="83" t="s">
        <v>2432</v>
      </c>
      <c r="AJ354" s="92">
        <v>39305.31148148148</v>
      </c>
      <c r="AK354" s="89" t="str">
        <f>HYPERLINK("https://yt3.ggpht.com/ytc/AGIKgqOdANk-FAwtyndvE_Jig8ifiJXFDCCZOI1aVTn7w7c=s88-c-k-c0x00ffffff-no-rj")</f>
        <v>https://yt3.ggpht.com/ytc/AGIKgqOdANk-FAwtyndvE_Jig8ifiJXFDCCZOI1aVTn7w7c=s88-c-k-c0x00ffffff-no-rj</v>
      </c>
      <c r="AL354" s="83">
        <v>879033</v>
      </c>
      <c r="AM354" s="83">
        <v>0</v>
      </c>
      <c r="AN354" s="83">
        <v>3710</v>
      </c>
      <c r="AO354" s="83" t="b">
        <v>0</v>
      </c>
      <c r="AP354" s="83">
        <v>135</v>
      </c>
      <c r="AQ354" s="83"/>
      <c r="AR354" s="83"/>
      <c r="AS354" s="83" t="s">
        <v>2744</v>
      </c>
      <c r="AT354" s="89" t="str">
        <f>HYPERLINK("https://www.youtube.com/channel/UCJB64zhi27F13KCXHl4zs9Q")</f>
        <v>https://www.youtube.com/channel/UCJB64zhi27F13KCXHl4zs9Q</v>
      </c>
      <c r="AU354" s="83" t="str">
        <f>REPLACE(INDEX(GroupVertices[Group],MATCH(Vertices[[#This Row],[Vertex]],GroupVertices[Vertex],0)),1,1,"")</f>
        <v>1</v>
      </c>
      <c r="AV354" s="45"/>
      <c r="AW354" s="46"/>
      <c r="AX354" s="45"/>
      <c r="AY354" s="46"/>
      <c r="AZ354" s="45"/>
      <c r="BA354" s="46"/>
      <c r="BB354" s="45"/>
      <c r="BC354" s="46"/>
      <c r="BD354" s="45"/>
      <c r="BE354" s="110" t="s">
        <v>1874</v>
      </c>
      <c r="BF354" s="110" t="s">
        <v>1874</v>
      </c>
      <c r="BG354" s="110" t="s">
        <v>1874</v>
      </c>
      <c r="BH354" s="110" t="s">
        <v>1874</v>
      </c>
      <c r="BI354" s="2"/>
    </row>
    <row r="355" spans="1:61" ht="15">
      <c r="A355" s="61" t="s">
        <v>557</v>
      </c>
      <c r="B355" s="62" t="s">
        <v>2893</v>
      </c>
      <c r="C355" s="62"/>
      <c r="D355" s="63">
        <v>100</v>
      </c>
      <c r="E355" s="65">
        <v>50</v>
      </c>
      <c r="F355" s="100" t="str">
        <f>HYPERLINK("https://yt3.ggpht.com/ytc/AGIKgqMqrWnfmLSiw3w7XxkxWPo3XfRsguJXttQq0OToNg=s88-c-k-c0x00ffffff-no-rj")</f>
        <v>https://yt3.ggpht.com/ytc/AGIKgqMqrWnfmLSiw3w7XxkxWPo3XfRsguJXttQq0OToNg=s88-c-k-c0x00ffffff-no-rj</v>
      </c>
      <c r="G355" s="62"/>
      <c r="H355" s="66" t="s">
        <v>1395</v>
      </c>
      <c r="I355" s="67"/>
      <c r="J355" s="67" t="s">
        <v>159</v>
      </c>
      <c r="K355" s="66" t="s">
        <v>1395</v>
      </c>
      <c r="L355" s="70"/>
      <c r="M355" s="71">
        <v>289.6746826171875</v>
      </c>
      <c r="N355" s="71">
        <v>4999.5</v>
      </c>
      <c r="O355" s="72"/>
      <c r="P355" s="73"/>
      <c r="Q355" s="73"/>
      <c r="R355" s="94"/>
      <c r="S355" s="45">
        <v>0</v>
      </c>
      <c r="T355" s="45">
        <v>1</v>
      </c>
      <c r="U355" s="46">
        <v>0</v>
      </c>
      <c r="V355" s="46">
        <v>0.122455</v>
      </c>
      <c r="W355" s="46">
        <v>0.068916</v>
      </c>
      <c r="X355" s="46">
        <v>0.002053</v>
      </c>
      <c r="Y355" s="46">
        <v>0</v>
      </c>
      <c r="Z355" s="46">
        <v>0</v>
      </c>
      <c r="AA355" s="68">
        <v>355</v>
      </c>
      <c r="AB355" s="68"/>
      <c r="AC355" s="69"/>
      <c r="AD355" s="83" t="s">
        <v>1395</v>
      </c>
      <c r="AE355" s="83" t="s">
        <v>2043</v>
      </c>
      <c r="AF355" s="83"/>
      <c r="AG355" s="83"/>
      <c r="AH355" s="83"/>
      <c r="AI355" s="83" t="s">
        <v>2433</v>
      </c>
      <c r="AJ355" s="83" t="s">
        <v>2702</v>
      </c>
      <c r="AK355" s="89" t="str">
        <f>HYPERLINK("https://yt3.ggpht.com/ytc/AGIKgqMqrWnfmLSiw3w7XxkxWPo3XfRsguJXttQq0OToNg=s88-c-k-c0x00ffffff-no-rj")</f>
        <v>https://yt3.ggpht.com/ytc/AGIKgqMqrWnfmLSiw3w7XxkxWPo3XfRsguJXttQq0OToNg=s88-c-k-c0x00ffffff-no-rj</v>
      </c>
      <c r="AL355" s="83">
        <v>0</v>
      </c>
      <c r="AM355" s="83">
        <v>0</v>
      </c>
      <c r="AN355" s="83">
        <v>34</v>
      </c>
      <c r="AO355" s="83" t="b">
        <v>0</v>
      </c>
      <c r="AP355" s="83">
        <v>0</v>
      </c>
      <c r="AQ355" s="83"/>
      <c r="AR355" s="83"/>
      <c r="AS355" s="83" t="s">
        <v>2744</v>
      </c>
      <c r="AT355" s="89" t="str">
        <f>HYPERLINK("https://www.youtube.com/channel/UCO0vd-Q-wuvy6p1D_stpjLA")</f>
        <v>https://www.youtube.com/channel/UCO0vd-Q-wuvy6p1D_stpjLA</v>
      </c>
      <c r="AU355" s="83" t="str">
        <f>REPLACE(INDEX(GroupVertices[Group],MATCH(Vertices[[#This Row],[Vertex]],GroupVertices[Vertex],0)),1,1,"")</f>
        <v>1</v>
      </c>
      <c r="AV355" s="45"/>
      <c r="AW355" s="46"/>
      <c r="AX355" s="45"/>
      <c r="AY355" s="46"/>
      <c r="AZ355" s="45"/>
      <c r="BA355" s="46"/>
      <c r="BB355" s="45"/>
      <c r="BC355" s="46"/>
      <c r="BD355" s="45"/>
      <c r="BE355" s="110" t="s">
        <v>1874</v>
      </c>
      <c r="BF355" s="110" t="s">
        <v>1874</v>
      </c>
      <c r="BG355" s="110" t="s">
        <v>1874</v>
      </c>
      <c r="BH355" s="110" t="s">
        <v>1874</v>
      </c>
      <c r="BI355" s="2"/>
    </row>
    <row r="356" spans="1:61" ht="15">
      <c r="A356" s="61" t="s">
        <v>558</v>
      </c>
      <c r="B356" s="62" t="s">
        <v>2893</v>
      </c>
      <c r="C356" s="62"/>
      <c r="D356" s="63">
        <v>100</v>
      </c>
      <c r="E356" s="65">
        <v>50</v>
      </c>
      <c r="F356" s="100" t="str">
        <f>HYPERLINK("https://yt3.ggpht.com/ytc/AGIKgqP7BVR905nFSddpOpNQaGr5JEA2LkqpGhdB43it3w=s88-c-k-c0x00ffffff-no-rj")</f>
        <v>https://yt3.ggpht.com/ytc/AGIKgqP7BVR905nFSddpOpNQaGr5JEA2LkqpGhdB43it3w=s88-c-k-c0x00ffffff-no-rj</v>
      </c>
      <c r="G356" s="62"/>
      <c r="H356" s="66" t="s">
        <v>1396</v>
      </c>
      <c r="I356" s="67"/>
      <c r="J356" s="67" t="s">
        <v>159</v>
      </c>
      <c r="K356" s="66" t="s">
        <v>1396</v>
      </c>
      <c r="L356" s="70"/>
      <c r="M356" s="71">
        <v>2170.185791015625</v>
      </c>
      <c r="N356" s="71">
        <v>5628.650390625</v>
      </c>
      <c r="O356" s="72"/>
      <c r="P356" s="73"/>
      <c r="Q356" s="73"/>
      <c r="R356" s="94"/>
      <c r="S356" s="45">
        <v>0</v>
      </c>
      <c r="T356" s="45">
        <v>1</v>
      </c>
      <c r="U356" s="46">
        <v>0</v>
      </c>
      <c r="V356" s="46">
        <v>0.122455</v>
      </c>
      <c r="W356" s="46">
        <v>0.068916</v>
      </c>
      <c r="X356" s="46">
        <v>0.002053</v>
      </c>
      <c r="Y356" s="46">
        <v>0</v>
      </c>
      <c r="Z356" s="46">
        <v>0</v>
      </c>
      <c r="AA356" s="68">
        <v>356</v>
      </c>
      <c r="AB356" s="68"/>
      <c r="AC356" s="69"/>
      <c r="AD356" s="83" t="s">
        <v>1396</v>
      </c>
      <c r="AE356" s="83"/>
      <c r="AF356" s="83"/>
      <c r="AG356" s="83"/>
      <c r="AH356" s="83"/>
      <c r="AI356" s="83" t="s">
        <v>2434</v>
      </c>
      <c r="AJ356" s="83" t="s">
        <v>2703</v>
      </c>
      <c r="AK356" s="89" t="str">
        <f>HYPERLINK("https://yt3.ggpht.com/ytc/AGIKgqP7BVR905nFSddpOpNQaGr5JEA2LkqpGhdB43it3w=s88-c-k-c0x00ffffff-no-rj")</f>
        <v>https://yt3.ggpht.com/ytc/AGIKgqP7BVR905nFSddpOpNQaGr5JEA2LkqpGhdB43it3w=s88-c-k-c0x00ffffff-no-rj</v>
      </c>
      <c r="AL356" s="83">
        <v>12</v>
      </c>
      <c r="AM356" s="83">
        <v>0</v>
      </c>
      <c r="AN356" s="83">
        <v>6</v>
      </c>
      <c r="AO356" s="83" t="b">
        <v>0</v>
      </c>
      <c r="AP356" s="83">
        <v>1</v>
      </c>
      <c r="AQ356" s="83"/>
      <c r="AR356" s="83"/>
      <c r="AS356" s="83" t="s">
        <v>2744</v>
      </c>
      <c r="AT356" s="89" t="str">
        <f>HYPERLINK("https://www.youtube.com/channel/UC0JjsEtFmDfrNWzLxI744sw")</f>
        <v>https://www.youtube.com/channel/UC0JjsEtFmDfrNWzLxI744sw</v>
      </c>
      <c r="AU356" s="83" t="str">
        <f>REPLACE(INDEX(GroupVertices[Group],MATCH(Vertices[[#This Row],[Vertex]],GroupVertices[Vertex],0)),1,1,"")</f>
        <v>1</v>
      </c>
      <c r="AV356" s="45"/>
      <c r="AW356" s="46"/>
      <c r="AX356" s="45"/>
      <c r="AY356" s="46"/>
      <c r="AZ356" s="45"/>
      <c r="BA356" s="46"/>
      <c r="BB356" s="45"/>
      <c r="BC356" s="46"/>
      <c r="BD356" s="45"/>
      <c r="BE356" s="110" t="s">
        <v>1874</v>
      </c>
      <c r="BF356" s="110" t="s">
        <v>1874</v>
      </c>
      <c r="BG356" s="110" t="s">
        <v>1874</v>
      </c>
      <c r="BH356" s="110" t="s">
        <v>1874</v>
      </c>
      <c r="BI356" s="2"/>
    </row>
    <row r="357" spans="1:61" ht="15">
      <c r="A357" s="61" t="s">
        <v>559</v>
      </c>
      <c r="B357" s="62" t="s">
        <v>2893</v>
      </c>
      <c r="C357" s="62"/>
      <c r="D357" s="63">
        <v>100</v>
      </c>
      <c r="E357" s="65">
        <v>50</v>
      </c>
      <c r="F357" s="100" t="str">
        <f>HYPERLINK("https://yt3.ggpht.com/ytc/AGIKgqNPaYnOJ_sxIy1x4s-W51UOa79Eu7UB9wQlb_c-=s88-c-k-c0x00ffffff-no-rj")</f>
        <v>https://yt3.ggpht.com/ytc/AGIKgqNPaYnOJ_sxIy1x4s-W51UOa79Eu7UB9wQlb_c-=s88-c-k-c0x00ffffff-no-rj</v>
      </c>
      <c r="G357" s="62"/>
      <c r="H357" s="66" t="s">
        <v>1397</v>
      </c>
      <c r="I357" s="67"/>
      <c r="J357" s="67" t="s">
        <v>159</v>
      </c>
      <c r="K357" s="66" t="s">
        <v>1397</v>
      </c>
      <c r="L357" s="70"/>
      <c r="M357" s="71">
        <v>1856.76708984375</v>
      </c>
      <c r="N357" s="71">
        <v>5628.650390625</v>
      </c>
      <c r="O357" s="72"/>
      <c r="P357" s="73"/>
      <c r="Q357" s="73"/>
      <c r="R357" s="94"/>
      <c r="S357" s="45">
        <v>0</v>
      </c>
      <c r="T357" s="45">
        <v>1</v>
      </c>
      <c r="U357" s="46">
        <v>0</v>
      </c>
      <c r="V357" s="46">
        <v>0.122455</v>
      </c>
      <c r="W357" s="46">
        <v>0.068916</v>
      </c>
      <c r="X357" s="46">
        <v>0.002053</v>
      </c>
      <c r="Y357" s="46">
        <v>0</v>
      </c>
      <c r="Z357" s="46">
        <v>0</v>
      </c>
      <c r="AA357" s="68">
        <v>357</v>
      </c>
      <c r="AB357" s="68"/>
      <c r="AC357" s="69"/>
      <c r="AD357" s="83" t="s">
        <v>1397</v>
      </c>
      <c r="AE357" s="83"/>
      <c r="AF357" s="83"/>
      <c r="AG357" s="83"/>
      <c r="AH357" s="83"/>
      <c r="AI357" s="83" t="s">
        <v>2435</v>
      </c>
      <c r="AJ357" s="83" t="s">
        <v>2704</v>
      </c>
      <c r="AK357" s="89" t="str">
        <f>HYPERLINK("https://yt3.ggpht.com/ytc/AGIKgqNPaYnOJ_sxIy1x4s-W51UOa79Eu7UB9wQlb_c-=s88-c-k-c0x00ffffff-no-rj")</f>
        <v>https://yt3.ggpht.com/ytc/AGIKgqNPaYnOJ_sxIy1x4s-W51UOa79Eu7UB9wQlb_c-=s88-c-k-c0x00ffffff-no-rj</v>
      </c>
      <c r="AL357" s="83">
        <v>75</v>
      </c>
      <c r="AM357" s="83">
        <v>0</v>
      </c>
      <c r="AN357" s="83">
        <v>25</v>
      </c>
      <c r="AO357" s="83" t="b">
        <v>0</v>
      </c>
      <c r="AP357" s="83">
        <v>2</v>
      </c>
      <c r="AQ357" s="83"/>
      <c r="AR357" s="83"/>
      <c r="AS357" s="83" t="s">
        <v>2744</v>
      </c>
      <c r="AT357" s="89" t="str">
        <f>HYPERLINK("https://www.youtube.com/channel/UCT7EhBOXKaeI9SZz11eBaWw")</f>
        <v>https://www.youtube.com/channel/UCT7EhBOXKaeI9SZz11eBaWw</v>
      </c>
      <c r="AU357" s="83" t="str">
        <f>REPLACE(INDEX(GroupVertices[Group],MATCH(Vertices[[#This Row],[Vertex]],GroupVertices[Vertex],0)),1,1,"")</f>
        <v>1</v>
      </c>
      <c r="AV357" s="45"/>
      <c r="AW357" s="46"/>
      <c r="AX357" s="45"/>
      <c r="AY357" s="46"/>
      <c r="AZ357" s="45"/>
      <c r="BA357" s="46"/>
      <c r="BB357" s="45"/>
      <c r="BC357" s="46"/>
      <c r="BD357" s="45"/>
      <c r="BE357" s="110" t="s">
        <v>1874</v>
      </c>
      <c r="BF357" s="110" t="s">
        <v>1874</v>
      </c>
      <c r="BG357" s="110" t="s">
        <v>1874</v>
      </c>
      <c r="BH357" s="110" t="s">
        <v>1874</v>
      </c>
      <c r="BI357" s="2"/>
    </row>
    <row r="358" spans="1:61" ht="15">
      <c r="A358" s="61" t="s">
        <v>560</v>
      </c>
      <c r="B358" s="62" t="s">
        <v>2893</v>
      </c>
      <c r="C358" s="62"/>
      <c r="D358" s="63">
        <v>100</v>
      </c>
      <c r="E358" s="65">
        <v>50</v>
      </c>
      <c r="F358" s="100" t="str">
        <f>HYPERLINK("https://yt3.ggpht.com/ytc/AGIKgqPSUQlxtOaUV7dTwaft5NjIbAFgk_TKatZvXWQG=s88-c-k-c0x00ffffff-no-rj")</f>
        <v>https://yt3.ggpht.com/ytc/AGIKgqPSUQlxtOaUV7dTwaft5NjIbAFgk_TKatZvXWQG=s88-c-k-c0x00ffffff-no-rj</v>
      </c>
      <c r="G358" s="62"/>
      <c r="H358" s="66" t="s">
        <v>1398</v>
      </c>
      <c r="I358" s="67"/>
      <c r="J358" s="67" t="s">
        <v>159</v>
      </c>
      <c r="K358" s="66" t="s">
        <v>1398</v>
      </c>
      <c r="L358" s="70"/>
      <c r="M358" s="71">
        <v>1543.3487548828125</v>
      </c>
      <c r="N358" s="71">
        <v>5628.650390625</v>
      </c>
      <c r="O358" s="72"/>
      <c r="P358" s="73"/>
      <c r="Q358" s="73"/>
      <c r="R358" s="94"/>
      <c r="S358" s="45">
        <v>0</v>
      </c>
      <c r="T358" s="45">
        <v>1</v>
      </c>
      <c r="U358" s="46">
        <v>0</v>
      </c>
      <c r="V358" s="46">
        <v>0.122455</v>
      </c>
      <c r="W358" s="46">
        <v>0.068916</v>
      </c>
      <c r="X358" s="46">
        <v>0.002053</v>
      </c>
      <c r="Y358" s="46">
        <v>0</v>
      </c>
      <c r="Z358" s="46">
        <v>0</v>
      </c>
      <c r="AA358" s="68">
        <v>358</v>
      </c>
      <c r="AB358" s="68"/>
      <c r="AC358" s="69"/>
      <c r="AD358" s="83" t="s">
        <v>1398</v>
      </c>
      <c r="AE358" s="83" t="s">
        <v>2044</v>
      </c>
      <c r="AF358" s="83"/>
      <c r="AG358" s="83"/>
      <c r="AH358" s="83"/>
      <c r="AI358" s="83" t="s">
        <v>2436</v>
      </c>
      <c r="AJ358" s="92">
        <v>42980.548946759256</v>
      </c>
      <c r="AK358" s="89" t="str">
        <f>HYPERLINK("https://yt3.ggpht.com/ytc/AGIKgqPSUQlxtOaUV7dTwaft5NjIbAFgk_TKatZvXWQG=s88-c-k-c0x00ffffff-no-rj")</f>
        <v>https://yt3.ggpht.com/ytc/AGIKgqPSUQlxtOaUV7dTwaft5NjIbAFgk_TKatZvXWQG=s88-c-k-c0x00ffffff-no-rj</v>
      </c>
      <c r="AL358" s="83">
        <v>0</v>
      </c>
      <c r="AM358" s="83">
        <v>0</v>
      </c>
      <c r="AN358" s="83">
        <v>6</v>
      </c>
      <c r="AO358" s="83" t="b">
        <v>0</v>
      </c>
      <c r="AP358" s="83">
        <v>0</v>
      </c>
      <c r="AQ358" s="83"/>
      <c r="AR358" s="83"/>
      <c r="AS358" s="83" t="s">
        <v>2744</v>
      </c>
      <c r="AT358" s="89" t="str">
        <f>HYPERLINK("https://www.youtube.com/channel/UC-dKFKSvA2oRqawK73zMNYw")</f>
        <v>https://www.youtube.com/channel/UC-dKFKSvA2oRqawK73zMNYw</v>
      </c>
      <c r="AU358" s="83" t="str">
        <f>REPLACE(INDEX(GroupVertices[Group],MATCH(Vertices[[#This Row],[Vertex]],GroupVertices[Vertex],0)),1,1,"")</f>
        <v>1</v>
      </c>
      <c r="AV358" s="45"/>
      <c r="AW358" s="46"/>
      <c r="AX358" s="45"/>
      <c r="AY358" s="46"/>
      <c r="AZ358" s="45"/>
      <c r="BA358" s="46"/>
      <c r="BB358" s="45"/>
      <c r="BC358" s="46"/>
      <c r="BD358" s="45"/>
      <c r="BE358" s="110" t="s">
        <v>1874</v>
      </c>
      <c r="BF358" s="110" t="s">
        <v>1874</v>
      </c>
      <c r="BG358" s="110" t="s">
        <v>1874</v>
      </c>
      <c r="BH358" s="110" t="s">
        <v>1874</v>
      </c>
      <c r="BI358" s="2"/>
    </row>
    <row r="359" spans="1:61" ht="15">
      <c r="A359" s="61" t="s">
        <v>561</v>
      </c>
      <c r="B359" s="62" t="s">
        <v>2893</v>
      </c>
      <c r="C359" s="62"/>
      <c r="D359" s="63">
        <v>100</v>
      </c>
      <c r="E359" s="65">
        <v>50</v>
      </c>
      <c r="F359" s="100" t="str">
        <f>HYPERLINK("https://yt3.ggpht.com/ytc/AGIKgqNgQKXcjeMDTCiQBkLszO1P1I4LgougzBKsiACd=s88-c-k-c0x00ffffff-no-rj")</f>
        <v>https://yt3.ggpht.com/ytc/AGIKgqNgQKXcjeMDTCiQBkLszO1P1I4LgougzBKsiACd=s88-c-k-c0x00ffffff-no-rj</v>
      </c>
      <c r="G359" s="62"/>
      <c r="H359" s="66" t="s">
        <v>1399</v>
      </c>
      <c r="I359" s="67"/>
      <c r="J359" s="67" t="s">
        <v>159</v>
      </c>
      <c r="K359" s="66" t="s">
        <v>1399</v>
      </c>
      <c r="L359" s="70"/>
      <c r="M359" s="71">
        <v>1229.93017578125</v>
      </c>
      <c r="N359" s="71">
        <v>5628.650390625</v>
      </c>
      <c r="O359" s="72"/>
      <c r="P359" s="73"/>
      <c r="Q359" s="73"/>
      <c r="R359" s="94"/>
      <c r="S359" s="45">
        <v>0</v>
      </c>
      <c r="T359" s="45">
        <v>1</v>
      </c>
      <c r="U359" s="46">
        <v>0</v>
      </c>
      <c r="V359" s="46">
        <v>0.122455</v>
      </c>
      <c r="W359" s="46">
        <v>0.068916</v>
      </c>
      <c r="X359" s="46">
        <v>0.002053</v>
      </c>
      <c r="Y359" s="46">
        <v>0</v>
      </c>
      <c r="Z359" s="46">
        <v>0</v>
      </c>
      <c r="AA359" s="68">
        <v>359</v>
      </c>
      <c r="AB359" s="68"/>
      <c r="AC359" s="69"/>
      <c r="AD359" s="83" t="s">
        <v>1399</v>
      </c>
      <c r="AE359" s="83"/>
      <c r="AF359" s="83"/>
      <c r="AG359" s="83"/>
      <c r="AH359" s="83"/>
      <c r="AI359" s="83" t="s">
        <v>2437</v>
      </c>
      <c r="AJ359" s="83" t="s">
        <v>2705</v>
      </c>
      <c r="AK359" s="89" t="str">
        <f>HYPERLINK("https://yt3.ggpht.com/ytc/AGIKgqNgQKXcjeMDTCiQBkLszO1P1I4LgougzBKsiACd=s88-c-k-c0x00ffffff-no-rj")</f>
        <v>https://yt3.ggpht.com/ytc/AGIKgqNgQKXcjeMDTCiQBkLszO1P1I4LgougzBKsiACd=s88-c-k-c0x00ffffff-no-rj</v>
      </c>
      <c r="AL359" s="83">
        <v>30</v>
      </c>
      <c r="AM359" s="83">
        <v>0</v>
      </c>
      <c r="AN359" s="83">
        <v>4</v>
      </c>
      <c r="AO359" s="83" t="b">
        <v>0</v>
      </c>
      <c r="AP359" s="83">
        <v>1</v>
      </c>
      <c r="AQ359" s="83"/>
      <c r="AR359" s="83"/>
      <c r="AS359" s="83" t="s">
        <v>2744</v>
      </c>
      <c r="AT359" s="89" t="str">
        <f>HYPERLINK("https://www.youtube.com/channel/UC2kr6LJovxi3DppRbXF_lIQ")</f>
        <v>https://www.youtube.com/channel/UC2kr6LJovxi3DppRbXF_lIQ</v>
      </c>
      <c r="AU359" s="83" t="str">
        <f>REPLACE(INDEX(GroupVertices[Group],MATCH(Vertices[[#This Row],[Vertex]],GroupVertices[Vertex],0)),1,1,"")</f>
        <v>1</v>
      </c>
      <c r="AV359" s="45"/>
      <c r="AW359" s="46"/>
      <c r="AX359" s="45"/>
      <c r="AY359" s="46"/>
      <c r="AZ359" s="45"/>
      <c r="BA359" s="46"/>
      <c r="BB359" s="45"/>
      <c r="BC359" s="46"/>
      <c r="BD359" s="45"/>
      <c r="BE359" s="110" t="s">
        <v>1874</v>
      </c>
      <c r="BF359" s="110" t="s">
        <v>1874</v>
      </c>
      <c r="BG359" s="110" t="s">
        <v>1874</v>
      </c>
      <c r="BH359" s="110" t="s">
        <v>1874</v>
      </c>
      <c r="BI359" s="2"/>
    </row>
    <row r="360" spans="1:61" ht="15">
      <c r="A360" s="61" t="s">
        <v>562</v>
      </c>
      <c r="B360" s="62" t="s">
        <v>2893</v>
      </c>
      <c r="C360" s="62"/>
      <c r="D360" s="63">
        <v>100</v>
      </c>
      <c r="E360" s="65">
        <v>50</v>
      </c>
      <c r="F360" s="100" t="str">
        <f>HYPERLINK("https://yt3.ggpht.com/qkzUhlXog3Azi8CJl9tLrJuipZBlluyqN4cedzG4MbR-Z_LyDeU7n5DxK6cPd6jq4jYeqlSSdA=s88-c-k-c0x00ffffff-no-rj")</f>
        <v>https://yt3.ggpht.com/qkzUhlXog3Azi8CJl9tLrJuipZBlluyqN4cedzG4MbR-Z_LyDeU7n5DxK6cPd6jq4jYeqlSSdA=s88-c-k-c0x00ffffff-no-rj</v>
      </c>
      <c r="G360" s="62"/>
      <c r="H360" s="66" t="s">
        <v>1400</v>
      </c>
      <c r="I360" s="67"/>
      <c r="J360" s="67" t="s">
        <v>159</v>
      </c>
      <c r="K360" s="66" t="s">
        <v>1400</v>
      </c>
      <c r="L360" s="70"/>
      <c r="M360" s="71">
        <v>916.51171875</v>
      </c>
      <c r="N360" s="71">
        <v>5628.650390625</v>
      </c>
      <c r="O360" s="72"/>
      <c r="P360" s="73"/>
      <c r="Q360" s="73"/>
      <c r="R360" s="94"/>
      <c r="S360" s="45">
        <v>0</v>
      </c>
      <c r="T360" s="45">
        <v>1</v>
      </c>
      <c r="U360" s="46">
        <v>0</v>
      </c>
      <c r="V360" s="46">
        <v>0.122455</v>
      </c>
      <c r="W360" s="46">
        <v>0.068916</v>
      </c>
      <c r="X360" s="46">
        <v>0.002053</v>
      </c>
      <c r="Y360" s="46">
        <v>0</v>
      </c>
      <c r="Z360" s="46">
        <v>0</v>
      </c>
      <c r="AA360" s="68">
        <v>360</v>
      </c>
      <c r="AB360" s="68"/>
      <c r="AC360" s="69"/>
      <c r="AD360" s="83" t="s">
        <v>1400</v>
      </c>
      <c r="AE360" s="83"/>
      <c r="AF360" s="83"/>
      <c r="AG360" s="83"/>
      <c r="AH360" s="83"/>
      <c r="AI360" s="83" t="s">
        <v>2438</v>
      </c>
      <c r="AJ360" s="83" t="s">
        <v>2706</v>
      </c>
      <c r="AK360" s="89" t="str">
        <f>HYPERLINK("https://yt3.ggpht.com/qkzUhlXog3Azi8CJl9tLrJuipZBlluyqN4cedzG4MbR-Z_LyDeU7n5DxK6cPd6jq4jYeqlSSdA=s88-c-k-c0x00ffffff-no-rj")</f>
        <v>https://yt3.ggpht.com/qkzUhlXog3Azi8CJl9tLrJuipZBlluyqN4cedzG4MbR-Z_LyDeU7n5DxK6cPd6jq4jYeqlSSdA=s88-c-k-c0x00ffffff-no-rj</v>
      </c>
      <c r="AL360" s="83">
        <v>884499</v>
      </c>
      <c r="AM360" s="83">
        <v>0</v>
      </c>
      <c r="AN360" s="83">
        <v>476</v>
      </c>
      <c r="AO360" s="83" t="b">
        <v>0</v>
      </c>
      <c r="AP360" s="83">
        <v>5</v>
      </c>
      <c r="AQ360" s="83"/>
      <c r="AR360" s="83"/>
      <c r="AS360" s="83" t="s">
        <v>2744</v>
      </c>
      <c r="AT360" s="89" t="str">
        <f>HYPERLINK("https://www.youtube.com/channel/UClGESSQ9_CIkK1Igid6TRbQ")</f>
        <v>https://www.youtube.com/channel/UClGESSQ9_CIkK1Igid6TRbQ</v>
      </c>
      <c r="AU360" s="83" t="str">
        <f>REPLACE(INDEX(GroupVertices[Group],MATCH(Vertices[[#This Row],[Vertex]],GroupVertices[Vertex],0)),1,1,"")</f>
        <v>1</v>
      </c>
      <c r="AV360" s="45"/>
      <c r="AW360" s="46"/>
      <c r="AX360" s="45"/>
      <c r="AY360" s="46"/>
      <c r="AZ360" s="45"/>
      <c r="BA360" s="46"/>
      <c r="BB360" s="45"/>
      <c r="BC360" s="46"/>
      <c r="BD360" s="45"/>
      <c r="BE360" s="110" t="s">
        <v>1874</v>
      </c>
      <c r="BF360" s="110" t="s">
        <v>1874</v>
      </c>
      <c r="BG360" s="110" t="s">
        <v>1874</v>
      </c>
      <c r="BH360" s="110" t="s">
        <v>1874</v>
      </c>
      <c r="BI360" s="2"/>
    </row>
    <row r="361" spans="1:61" ht="15">
      <c r="A361" s="61" t="s">
        <v>563</v>
      </c>
      <c r="B361" s="62" t="s">
        <v>2893</v>
      </c>
      <c r="C361" s="62"/>
      <c r="D361" s="63">
        <v>100</v>
      </c>
      <c r="E361" s="65">
        <v>50</v>
      </c>
      <c r="F361" s="100" t="str">
        <f>HYPERLINK("https://yt3.ggpht.com/ytc/AGIKgqNwKyr7l393MgjAyDPIsErDUjGPrSCdlhS5S9hypw=s88-c-k-c0x00ffffff-no-rj")</f>
        <v>https://yt3.ggpht.com/ytc/AGIKgqNwKyr7l393MgjAyDPIsErDUjGPrSCdlhS5S9hypw=s88-c-k-c0x00ffffff-no-rj</v>
      </c>
      <c r="G361" s="62"/>
      <c r="H361" s="66" t="s">
        <v>1401</v>
      </c>
      <c r="I361" s="67"/>
      <c r="J361" s="67" t="s">
        <v>159</v>
      </c>
      <c r="K361" s="66" t="s">
        <v>1401</v>
      </c>
      <c r="L361" s="70"/>
      <c r="M361" s="71">
        <v>603.0931396484375</v>
      </c>
      <c r="N361" s="71">
        <v>5628.650390625</v>
      </c>
      <c r="O361" s="72"/>
      <c r="P361" s="73"/>
      <c r="Q361" s="73"/>
      <c r="R361" s="94"/>
      <c r="S361" s="45">
        <v>0</v>
      </c>
      <c r="T361" s="45">
        <v>1</v>
      </c>
      <c r="U361" s="46">
        <v>0</v>
      </c>
      <c r="V361" s="46">
        <v>0.122455</v>
      </c>
      <c r="W361" s="46">
        <v>0.068916</v>
      </c>
      <c r="X361" s="46">
        <v>0.002053</v>
      </c>
      <c r="Y361" s="46">
        <v>0</v>
      </c>
      <c r="Z361" s="46">
        <v>0</v>
      </c>
      <c r="AA361" s="68">
        <v>361</v>
      </c>
      <c r="AB361" s="68"/>
      <c r="AC361" s="69"/>
      <c r="AD361" s="83" t="s">
        <v>1401</v>
      </c>
      <c r="AE361" s="83" t="s">
        <v>2045</v>
      </c>
      <c r="AF361" s="83"/>
      <c r="AG361" s="83"/>
      <c r="AH361" s="83"/>
      <c r="AI361" s="83" t="s">
        <v>2439</v>
      </c>
      <c r="AJ361" s="83" t="s">
        <v>2707</v>
      </c>
      <c r="AK361" s="89" t="str">
        <f>HYPERLINK("https://yt3.ggpht.com/ytc/AGIKgqNwKyr7l393MgjAyDPIsErDUjGPrSCdlhS5S9hypw=s88-c-k-c0x00ffffff-no-rj")</f>
        <v>https://yt3.ggpht.com/ytc/AGIKgqNwKyr7l393MgjAyDPIsErDUjGPrSCdlhS5S9hypw=s88-c-k-c0x00ffffff-no-rj</v>
      </c>
      <c r="AL361" s="83">
        <v>1706</v>
      </c>
      <c r="AM361" s="83">
        <v>0</v>
      </c>
      <c r="AN361" s="83">
        <v>51</v>
      </c>
      <c r="AO361" s="83" t="b">
        <v>0</v>
      </c>
      <c r="AP361" s="83">
        <v>4</v>
      </c>
      <c r="AQ361" s="83"/>
      <c r="AR361" s="83"/>
      <c r="AS361" s="83" t="s">
        <v>2744</v>
      </c>
      <c r="AT361" s="89" t="str">
        <f>HYPERLINK("https://www.youtube.com/channel/UC6mnnA13-i-8E03dCg4RsYw")</f>
        <v>https://www.youtube.com/channel/UC6mnnA13-i-8E03dCg4RsYw</v>
      </c>
      <c r="AU361" s="83" t="str">
        <f>REPLACE(INDEX(GroupVertices[Group],MATCH(Vertices[[#This Row],[Vertex]],GroupVertices[Vertex],0)),1,1,"")</f>
        <v>1</v>
      </c>
      <c r="AV361" s="45"/>
      <c r="AW361" s="46"/>
      <c r="AX361" s="45"/>
      <c r="AY361" s="46"/>
      <c r="AZ361" s="45"/>
      <c r="BA361" s="46"/>
      <c r="BB361" s="45"/>
      <c r="BC361" s="46"/>
      <c r="BD361" s="45"/>
      <c r="BE361" s="110" t="s">
        <v>1874</v>
      </c>
      <c r="BF361" s="110" t="s">
        <v>1874</v>
      </c>
      <c r="BG361" s="110" t="s">
        <v>1874</v>
      </c>
      <c r="BH361" s="110" t="s">
        <v>1874</v>
      </c>
      <c r="BI361" s="2"/>
    </row>
    <row r="362" spans="1:61" ht="15">
      <c r="A362" s="61" t="s">
        <v>564</v>
      </c>
      <c r="B362" s="62" t="s">
        <v>2893</v>
      </c>
      <c r="C362" s="62"/>
      <c r="D362" s="63">
        <v>100</v>
      </c>
      <c r="E362" s="65">
        <v>50</v>
      </c>
      <c r="F362" s="100" t="str">
        <f>HYPERLINK("https://yt3.ggpht.com/ytc/AGIKgqNsYwh0Ir1e4j5g5Q_RQ_8IGV-9zv94okWKlNZWLw=s88-c-k-c0x00ffffff-no-rj")</f>
        <v>https://yt3.ggpht.com/ytc/AGIKgqNsYwh0Ir1e4j5g5Q_RQ_8IGV-9zv94okWKlNZWLw=s88-c-k-c0x00ffffff-no-rj</v>
      </c>
      <c r="G362" s="62"/>
      <c r="H362" s="66" t="s">
        <v>1402</v>
      </c>
      <c r="I362" s="67"/>
      <c r="J362" s="67" t="s">
        <v>159</v>
      </c>
      <c r="K362" s="66" t="s">
        <v>1402</v>
      </c>
      <c r="L362" s="70"/>
      <c r="M362" s="71">
        <v>289.6746826171875</v>
      </c>
      <c r="N362" s="71">
        <v>5628.650390625</v>
      </c>
      <c r="O362" s="72"/>
      <c r="P362" s="73"/>
      <c r="Q362" s="73"/>
      <c r="R362" s="94"/>
      <c r="S362" s="45">
        <v>0</v>
      </c>
      <c r="T362" s="45">
        <v>1</v>
      </c>
      <c r="U362" s="46">
        <v>0</v>
      </c>
      <c r="V362" s="46">
        <v>0.122455</v>
      </c>
      <c r="W362" s="46">
        <v>0.068916</v>
      </c>
      <c r="X362" s="46">
        <v>0.002053</v>
      </c>
      <c r="Y362" s="46">
        <v>0</v>
      </c>
      <c r="Z362" s="46">
        <v>0</v>
      </c>
      <c r="AA362" s="68">
        <v>362</v>
      </c>
      <c r="AB362" s="68"/>
      <c r="AC362" s="69"/>
      <c r="AD362" s="83" t="s">
        <v>1402</v>
      </c>
      <c r="AE362" s="83"/>
      <c r="AF362" s="83"/>
      <c r="AG362" s="83"/>
      <c r="AH362" s="83"/>
      <c r="AI362" s="83" t="s">
        <v>2440</v>
      </c>
      <c r="AJ362" s="83" t="s">
        <v>2708</v>
      </c>
      <c r="AK362" s="89" t="str">
        <f>HYPERLINK("https://yt3.ggpht.com/ytc/AGIKgqNsYwh0Ir1e4j5g5Q_RQ_8IGV-9zv94okWKlNZWLw=s88-c-k-c0x00ffffff-no-rj")</f>
        <v>https://yt3.ggpht.com/ytc/AGIKgqNsYwh0Ir1e4j5g5Q_RQ_8IGV-9zv94okWKlNZWLw=s88-c-k-c0x00ffffff-no-rj</v>
      </c>
      <c r="AL362" s="83">
        <v>862</v>
      </c>
      <c r="AM362" s="83">
        <v>0</v>
      </c>
      <c r="AN362" s="83">
        <v>59</v>
      </c>
      <c r="AO362" s="83" t="b">
        <v>0</v>
      </c>
      <c r="AP362" s="83">
        <v>21</v>
      </c>
      <c r="AQ362" s="83"/>
      <c r="AR362" s="83"/>
      <c r="AS362" s="83" t="s">
        <v>2744</v>
      </c>
      <c r="AT362" s="89" t="str">
        <f>HYPERLINK("https://www.youtube.com/channel/UCUuAP5kn-u5gbBwnHsCWn1w")</f>
        <v>https://www.youtube.com/channel/UCUuAP5kn-u5gbBwnHsCWn1w</v>
      </c>
      <c r="AU362" s="83" t="str">
        <f>REPLACE(INDEX(GroupVertices[Group],MATCH(Vertices[[#This Row],[Vertex]],GroupVertices[Vertex],0)),1,1,"")</f>
        <v>1</v>
      </c>
      <c r="AV362" s="45"/>
      <c r="AW362" s="46"/>
      <c r="AX362" s="45"/>
      <c r="AY362" s="46"/>
      <c r="AZ362" s="45"/>
      <c r="BA362" s="46"/>
      <c r="BB362" s="45"/>
      <c r="BC362" s="46"/>
      <c r="BD362" s="45"/>
      <c r="BE362" s="110" t="s">
        <v>1874</v>
      </c>
      <c r="BF362" s="110" t="s">
        <v>1874</v>
      </c>
      <c r="BG362" s="110" t="s">
        <v>1874</v>
      </c>
      <c r="BH362" s="110" t="s">
        <v>1874</v>
      </c>
      <c r="BI362" s="2"/>
    </row>
    <row r="363" spans="1:61" ht="15">
      <c r="A363" s="61" t="s">
        <v>565</v>
      </c>
      <c r="B363" s="62" t="s">
        <v>2893</v>
      </c>
      <c r="C363" s="62"/>
      <c r="D363" s="63">
        <v>100</v>
      </c>
      <c r="E363" s="65">
        <v>50</v>
      </c>
      <c r="F363" s="100" t="str">
        <f>HYPERLINK("https://yt3.ggpht.com/ytc/AGIKgqOZyupL9jSAhIFfE5l7vq23g63zY_wonRe2CYl0pA=s88-c-k-c0x00ffffff-no-rj")</f>
        <v>https://yt3.ggpht.com/ytc/AGIKgqOZyupL9jSAhIFfE5l7vq23g63zY_wonRe2CYl0pA=s88-c-k-c0x00ffffff-no-rj</v>
      </c>
      <c r="G363" s="62"/>
      <c r="H363" s="66" t="s">
        <v>1403</v>
      </c>
      <c r="I363" s="67"/>
      <c r="J363" s="67" t="s">
        <v>159</v>
      </c>
      <c r="K363" s="66" t="s">
        <v>1403</v>
      </c>
      <c r="L363" s="70"/>
      <c r="M363" s="71">
        <v>2170.185791015625</v>
      </c>
      <c r="N363" s="71">
        <v>6257.80126953125</v>
      </c>
      <c r="O363" s="72"/>
      <c r="P363" s="73"/>
      <c r="Q363" s="73"/>
      <c r="R363" s="94"/>
      <c r="S363" s="45">
        <v>0</v>
      </c>
      <c r="T363" s="45">
        <v>1</v>
      </c>
      <c r="U363" s="46">
        <v>0</v>
      </c>
      <c r="V363" s="46">
        <v>0.122455</v>
      </c>
      <c r="W363" s="46">
        <v>0.068916</v>
      </c>
      <c r="X363" s="46">
        <v>0.002053</v>
      </c>
      <c r="Y363" s="46">
        <v>0</v>
      </c>
      <c r="Z363" s="46">
        <v>0</v>
      </c>
      <c r="AA363" s="68">
        <v>363</v>
      </c>
      <c r="AB363" s="68"/>
      <c r="AC363" s="69"/>
      <c r="AD363" s="83" t="s">
        <v>1403</v>
      </c>
      <c r="AE363" s="83" t="s">
        <v>2046</v>
      </c>
      <c r="AF363" s="83"/>
      <c r="AG363" s="83"/>
      <c r="AH363" s="83"/>
      <c r="AI363" s="83" t="s">
        <v>2441</v>
      </c>
      <c r="AJ363" s="83" t="s">
        <v>2709</v>
      </c>
      <c r="AK363" s="89" t="str">
        <f>HYPERLINK("https://yt3.ggpht.com/ytc/AGIKgqOZyupL9jSAhIFfE5l7vq23g63zY_wonRe2CYl0pA=s88-c-k-c0x00ffffff-no-rj")</f>
        <v>https://yt3.ggpht.com/ytc/AGIKgqOZyupL9jSAhIFfE5l7vq23g63zY_wonRe2CYl0pA=s88-c-k-c0x00ffffff-no-rj</v>
      </c>
      <c r="AL363" s="83">
        <v>2489</v>
      </c>
      <c r="AM363" s="83">
        <v>0</v>
      </c>
      <c r="AN363" s="83">
        <v>7</v>
      </c>
      <c r="AO363" s="83" t="b">
        <v>0</v>
      </c>
      <c r="AP363" s="83">
        <v>2</v>
      </c>
      <c r="AQ363" s="83"/>
      <c r="AR363" s="83"/>
      <c r="AS363" s="83" t="s">
        <v>2744</v>
      </c>
      <c r="AT363" s="89" t="str">
        <f>HYPERLINK("https://www.youtube.com/channel/UC4Td2571F17COgRA2UAIvIQ")</f>
        <v>https://www.youtube.com/channel/UC4Td2571F17COgRA2UAIvIQ</v>
      </c>
      <c r="AU363" s="83" t="str">
        <f>REPLACE(INDEX(GroupVertices[Group],MATCH(Vertices[[#This Row],[Vertex]],GroupVertices[Vertex],0)),1,1,"")</f>
        <v>1</v>
      </c>
      <c r="AV363" s="45"/>
      <c r="AW363" s="46"/>
      <c r="AX363" s="45"/>
      <c r="AY363" s="46"/>
      <c r="AZ363" s="45"/>
      <c r="BA363" s="46"/>
      <c r="BB363" s="45"/>
      <c r="BC363" s="46"/>
      <c r="BD363" s="45"/>
      <c r="BE363" s="110" t="s">
        <v>1874</v>
      </c>
      <c r="BF363" s="110" t="s">
        <v>1874</v>
      </c>
      <c r="BG363" s="110" t="s">
        <v>1874</v>
      </c>
      <c r="BH363" s="110" t="s">
        <v>1874</v>
      </c>
      <c r="BI363" s="2"/>
    </row>
    <row r="364" spans="1:61" ht="15">
      <c r="A364" s="61" t="s">
        <v>566</v>
      </c>
      <c r="B364" s="62" t="s">
        <v>2893</v>
      </c>
      <c r="C364" s="62"/>
      <c r="D364" s="63">
        <v>100</v>
      </c>
      <c r="E364" s="65">
        <v>50</v>
      </c>
      <c r="F364" s="100" t="str">
        <f>HYPERLINK("https://yt3.ggpht.com/ytc/AGIKgqMd26YjIxr03pLJqttPmmwM1uAUobjdrFyD5Jb0=s88-c-k-c0x00ffffff-no-rj")</f>
        <v>https://yt3.ggpht.com/ytc/AGIKgqMd26YjIxr03pLJqttPmmwM1uAUobjdrFyD5Jb0=s88-c-k-c0x00ffffff-no-rj</v>
      </c>
      <c r="G364" s="62"/>
      <c r="H364" s="66" t="s">
        <v>1404</v>
      </c>
      <c r="I364" s="67"/>
      <c r="J364" s="67" t="s">
        <v>159</v>
      </c>
      <c r="K364" s="66" t="s">
        <v>1404</v>
      </c>
      <c r="L364" s="70"/>
      <c r="M364" s="71">
        <v>1856.76708984375</v>
      </c>
      <c r="N364" s="71">
        <v>6257.80126953125</v>
      </c>
      <c r="O364" s="72"/>
      <c r="P364" s="73"/>
      <c r="Q364" s="73"/>
      <c r="R364" s="94"/>
      <c r="S364" s="45">
        <v>0</v>
      </c>
      <c r="T364" s="45">
        <v>1</v>
      </c>
      <c r="U364" s="46">
        <v>0</v>
      </c>
      <c r="V364" s="46">
        <v>0.122455</v>
      </c>
      <c r="W364" s="46">
        <v>0.068916</v>
      </c>
      <c r="X364" s="46">
        <v>0.002053</v>
      </c>
      <c r="Y364" s="46">
        <v>0</v>
      </c>
      <c r="Z364" s="46">
        <v>0</v>
      </c>
      <c r="AA364" s="68">
        <v>364</v>
      </c>
      <c r="AB364" s="68"/>
      <c r="AC364" s="69"/>
      <c r="AD364" s="83" t="s">
        <v>1404</v>
      </c>
      <c r="AE364" s="83"/>
      <c r="AF364" s="83"/>
      <c r="AG364" s="83"/>
      <c r="AH364" s="83"/>
      <c r="AI364" s="83" t="s">
        <v>2442</v>
      </c>
      <c r="AJ364" s="92">
        <v>43101.10603009259</v>
      </c>
      <c r="AK364" s="89" t="str">
        <f>HYPERLINK("https://yt3.ggpht.com/ytc/AGIKgqMd26YjIxr03pLJqttPmmwM1uAUobjdrFyD5Jb0=s88-c-k-c0x00ffffff-no-rj")</f>
        <v>https://yt3.ggpht.com/ytc/AGIKgqMd26YjIxr03pLJqttPmmwM1uAUobjdrFyD5Jb0=s88-c-k-c0x00ffffff-no-rj</v>
      </c>
      <c r="AL364" s="83">
        <v>0</v>
      </c>
      <c r="AM364" s="83">
        <v>0</v>
      </c>
      <c r="AN364" s="83">
        <v>2</v>
      </c>
      <c r="AO364" s="83" t="b">
        <v>0</v>
      </c>
      <c r="AP364" s="83">
        <v>0</v>
      </c>
      <c r="AQ364" s="83"/>
      <c r="AR364" s="83"/>
      <c r="AS364" s="83" t="s">
        <v>2744</v>
      </c>
      <c r="AT364" s="89" t="str">
        <f>HYPERLINK("https://www.youtube.com/channel/UC6VlnFJ2PE-L4WJC6d50Fhw")</f>
        <v>https://www.youtube.com/channel/UC6VlnFJ2PE-L4WJC6d50Fhw</v>
      </c>
      <c r="AU364" s="83" t="str">
        <f>REPLACE(INDEX(GroupVertices[Group],MATCH(Vertices[[#This Row],[Vertex]],GroupVertices[Vertex],0)),1,1,"")</f>
        <v>1</v>
      </c>
      <c r="AV364" s="45"/>
      <c r="AW364" s="46"/>
      <c r="AX364" s="45"/>
      <c r="AY364" s="46"/>
      <c r="AZ364" s="45"/>
      <c r="BA364" s="46"/>
      <c r="BB364" s="45"/>
      <c r="BC364" s="46"/>
      <c r="BD364" s="45"/>
      <c r="BE364" s="110" t="s">
        <v>1874</v>
      </c>
      <c r="BF364" s="110" t="s">
        <v>1874</v>
      </c>
      <c r="BG364" s="110" t="s">
        <v>1874</v>
      </c>
      <c r="BH364" s="110" t="s">
        <v>1874</v>
      </c>
      <c r="BI364" s="2"/>
    </row>
    <row r="365" spans="1:61" ht="15">
      <c r="A365" s="61" t="s">
        <v>567</v>
      </c>
      <c r="B365" s="62" t="s">
        <v>2893</v>
      </c>
      <c r="C365" s="62"/>
      <c r="D365" s="63">
        <v>100</v>
      </c>
      <c r="E365" s="65">
        <v>50</v>
      </c>
      <c r="F365" s="100" t="str">
        <f>HYPERLINK("https://yt3.ggpht.com/ytc/AGIKgqNQ2wKv9Md_tieHVeODkd6Kkrk5-aqEOaYNcgCDRg=s88-c-k-c0x00ffffff-no-rj")</f>
        <v>https://yt3.ggpht.com/ytc/AGIKgqNQ2wKv9Md_tieHVeODkd6Kkrk5-aqEOaYNcgCDRg=s88-c-k-c0x00ffffff-no-rj</v>
      </c>
      <c r="G365" s="62"/>
      <c r="H365" s="66" t="s">
        <v>1405</v>
      </c>
      <c r="I365" s="67"/>
      <c r="J365" s="67" t="s">
        <v>159</v>
      </c>
      <c r="K365" s="66" t="s">
        <v>1405</v>
      </c>
      <c r="L365" s="70"/>
      <c r="M365" s="71">
        <v>1543.3487548828125</v>
      </c>
      <c r="N365" s="71">
        <v>6257.80126953125</v>
      </c>
      <c r="O365" s="72"/>
      <c r="P365" s="73"/>
      <c r="Q365" s="73"/>
      <c r="R365" s="94"/>
      <c r="S365" s="45">
        <v>0</v>
      </c>
      <c r="T365" s="45">
        <v>1</v>
      </c>
      <c r="U365" s="46">
        <v>0</v>
      </c>
      <c r="V365" s="46">
        <v>0.122455</v>
      </c>
      <c r="W365" s="46">
        <v>0.068916</v>
      </c>
      <c r="X365" s="46">
        <v>0.002053</v>
      </c>
      <c r="Y365" s="46">
        <v>0</v>
      </c>
      <c r="Z365" s="46">
        <v>0</v>
      </c>
      <c r="AA365" s="68">
        <v>365</v>
      </c>
      <c r="AB365" s="68"/>
      <c r="AC365" s="69"/>
      <c r="AD365" s="83" t="s">
        <v>1405</v>
      </c>
      <c r="AE365" s="83"/>
      <c r="AF365" s="83"/>
      <c r="AG365" s="83"/>
      <c r="AH365" s="83"/>
      <c r="AI365" s="83" t="s">
        <v>2443</v>
      </c>
      <c r="AJ365" s="92">
        <v>42224.790347222224</v>
      </c>
      <c r="AK365" s="89" t="str">
        <f>HYPERLINK("https://yt3.ggpht.com/ytc/AGIKgqNQ2wKv9Md_tieHVeODkd6Kkrk5-aqEOaYNcgCDRg=s88-c-k-c0x00ffffff-no-rj")</f>
        <v>https://yt3.ggpht.com/ytc/AGIKgqNQ2wKv9Md_tieHVeODkd6Kkrk5-aqEOaYNcgCDRg=s88-c-k-c0x00ffffff-no-rj</v>
      </c>
      <c r="AL365" s="83">
        <v>1979</v>
      </c>
      <c r="AM365" s="83">
        <v>0</v>
      </c>
      <c r="AN365" s="83">
        <v>156</v>
      </c>
      <c r="AO365" s="83" t="b">
        <v>0</v>
      </c>
      <c r="AP365" s="83">
        <v>30</v>
      </c>
      <c r="AQ365" s="83"/>
      <c r="AR365" s="83"/>
      <c r="AS365" s="83" t="s">
        <v>2744</v>
      </c>
      <c r="AT365" s="89" t="str">
        <f>HYPERLINK("https://www.youtube.com/channel/UCBuI5BeXFR7Qb2yYB-TLqsw")</f>
        <v>https://www.youtube.com/channel/UCBuI5BeXFR7Qb2yYB-TLqsw</v>
      </c>
      <c r="AU365" s="83" t="str">
        <f>REPLACE(INDEX(GroupVertices[Group],MATCH(Vertices[[#This Row],[Vertex]],GroupVertices[Vertex],0)),1,1,"")</f>
        <v>1</v>
      </c>
      <c r="AV365" s="45"/>
      <c r="AW365" s="46"/>
      <c r="AX365" s="45"/>
      <c r="AY365" s="46"/>
      <c r="AZ365" s="45"/>
      <c r="BA365" s="46"/>
      <c r="BB365" s="45"/>
      <c r="BC365" s="46"/>
      <c r="BD365" s="45"/>
      <c r="BE365" s="110" t="s">
        <v>1874</v>
      </c>
      <c r="BF365" s="110" t="s">
        <v>1874</v>
      </c>
      <c r="BG365" s="110" t="s">
        <v>1874</v>
      </c>
      <c r="BH365" s="110" t="s">
        <v>1874</v>
      </c>
      <c r="BI365" s="2"/>
    </row>
    <row r="366" spans="1:61" ht="15">
      <c r="A366" s="61" t="s">
        <v>568</v>
      </c>
      <c r="B366" s="62" t="s">
        <v>2893</v>
      </c>
      <c r="C366" s="62"/>
      <c r="D366" s="63">
        <v>100</v>
      </c>
      <c r="E366" s="65">
        <v>50</v>
      </c>
      <c r="F366" s="100" t="str">
        <f>HYPERLINK("https://yt3.ggpht.com/ytc/AGIKgqPVPJVJZstHAY5NKxEj7R2bKS1dsTzQxxSLcCARZA=s88-c-k-c0x00ffffff-no-rj")</f>
        <v>https://yt3.ggpht.com/ytc/AGIKgqPVPJVJZstHAY5NKxEj7R2bKS1dsTzQxxSLcCARZA=s88-c-k-c0x00ffffff-no-rj</v>
      </c>
      <c r="G366" s="62"/>
      <c r="H366" s="66" t="s">
        <v>1406</v>
      </c>
      <c r="I366" s="67"/>
      <c r="J366" s="67" t="s">
        <v>159</v>
      </c>
      <c r="K366" s="66" t="s">
        <v>1406</v>
      </c>
      <c r="L366" s="70"/>
      <c r="M366" s="71">
        <v>1229.93017578125</v>
      </c>
      <c r="N366" s="71">
        <v>6257.80126953125</v>
      </c>
      <c r="O366" s="72"/>
      <c r="P366" s="73"/>
      <c r="Q366" s="73"/>
      <c r="R366" s="94"/>
      <c r="S366" s="45">
        <v>0</v>
      </c>
      <c r="T366" s="45">
        <v>1</v>
      </c>
      <c r="U366" s="46">
        <v>0</v>
      </c>
      <c r="V366" s="46">
        <v>0.122455</v>
      </c>
      <c r="W366" s="46">
        <v>0.068916</v>
      </c>
      <c r="X366" s="46">
        <v>0.002053</v>
      </c>
      <c r="Y366" s="46">
        <v>0</v>
      </c>
      <c r="Z366" s="46">
        <v>0</v>
      </c>
      <c r="AA366" s="68">
        <v>366</v>
      </c>
      <c r="AB366" s="68"/>
      <c r="AC366" s="69"/>
      <c r="AD366" s="83" t="s">
        <v>1406</v>
      </c>
      <c r="AE366" s="83" t="s">
        <v>2047</v>
      </c>
      <c r="AF366" s="83"/>
      <c r="AG366" s="83"/>
      <c r="AH366" s="83"/>
      <c r="AI366" s="83" t="s">
        <v>2444</v>
      </c>
      <c r="AJ366" s="92">
        <v>41857.04603009259</v>
      </c>
      <c r="AK366" s="89" t="str">
        <f>HYPERLINK("https://yt3.ggpht.com/ytc/AGIKgqPVPJVJZstHAY5NKxEj7R2bKS1dsTzQxxSLcCARZA=s88-c-k-c0x00ffffff-no-rj")</f>
        <v>https://yt3.ggpht.com/ytc/AGIKgqPVPJVJZstHAY5NKxEj7R2bKS1dsTzQxxSLcCARZA=s88-c-k-c0x00ffffff-no-rj</v>
      </c>
      <c r="AL366" s="83">
        <v>332</v>
      </c>
      <c r="AM366" s="83">
        <v>0</v>
      </c>
      <c r="AN366" s="83">
        <v>4</v>
      </c>
      <c r="AO366" s="83" t="b">
        <v>0</v>
      </c>
      <c r="AP366" s="83">
        <v>1</v>
      </c>
      <c r="AQ366" s="83"/>
      <c r="AR366" s="83"/>
      <c r="AS366" s="83" t="s">
        <v>2744</v>
      </c>
      <c r="AT366" s="89" t="str">
        <f>HYPERLINK("https://www.youtube.com/channel/UCqi0eJx11pQuo3DAzULs3Sg")</f>
        <v>https://www.youtube.com/channel/UCqi0eJx11pQuo3DAzULs3Sg</v>
      </c>
      <c r="AU366" s="83" t="str">
        <f>REPLACE(INDEX(GroupVertices[Group],MATCH(Vertices[[#This Row],[Vertex]],GroupVertices[Vertex],0)),1,1,"")</f>
        <v>1</v>
      </c>
      <c r="AV366" s="45"/>
      <c r="AW366" s="46"/>
      <c r="AX366" s="45"/>
      <c r="AY366" s="46"/>
      <c r="AZ366" s="45"/>
      <c r="BA366" s="46"/>
      <c r="BB366" s="45"/>
      <c r="BC366" s="46"/>
      <c r="BD366" s="45"/>
      <c r="BE366" s="110" t="s">
        <v>1874</v>
      </c>
      <c r="BF366" s="110" t="s">
        <v>1874</v>
      </c>
      <c r="BG366" s="110" t="s">
        <v>1874</v>
      </c>
      <c r="BH366" s="110" t="s">
        <v>1874</v>
      </c>
      <c r="BI366" s="2"/>
    </row>
    <row r="367" spans="1:61" ht="15">
      <c r="A367" s="61" t="s">
        <v>569</v>
      </c>
      <c r="B367" s="62" t="s">
        <v>2893</v>
      </c>
      <c r="C367" s="62"/>
      <c r="D367" s="63">
        <v>100</v>
      </c>
      <c r="E367" s="65">
        <v>50</v>
      </c>
      <c r="F367" s="100" t="str">
        <f>HYPERLINK("https://yt3.ggpht.com/ytc/AGIKgqNQS4nCSzlj5R3pXIwRv5ot2MbSUIMkOxYZ4_OM=s88-c-k-c0x00ffffff-no-rj")</f>
        <v>https://yt3.ggpht.com/ytc/AGIKgqNQS4nCSzlj5R3pXIwRv5ot2MbSUIMkOxYZ4_OM=s88-c-k-c0x00ffffff-no-rj</v>
      </c>
      <c r="G367" s="62"/>
      <c r="H367" s="66" t="s">
        <v>1407</v>
      </c>
      <c r="I367" s="67"/>
      <c r="J367" s="67" t="s">
        <v>159</v>
      </c>
      <c r="K367" s="66" t="s">
        <v>1407</v>
      </c>
      <c r="L367" s="70"/>
      <c r="M367" s="71">
        <v>916.51171875</v>
      </c>
      <c r="N367" s="71">
        <v>6257.80126953125</v>
      </c>
      <c r="O367" s="72"/>
      <c r="P367" s="73"/>
      <c r="Q367" s="73"/>
      <c r="R367" s="94"/>
      <c r="S367" s="45">
        <v>0</v>
      </c>
      <c r="T367" s="45">
        <v>1</v>
      </c>
      <c r="U367" s="46">
        <v>0</v>
      </c>
      <c r="V367" s="46">
        <v>0.122455</v>
      </c>
      <c r="W367" s="46">
        <v>0.068916</v>
      </c>
      <c r="X367" s="46">
        <v>0.002053</v>
      </c>
      <c r="Y367" s="46">
        <v>0</v>
      </c>
      <c r="Z367" s="46">
        <v>0</v>
      </c>
      <c r="AA367" s="68">
        <v>367</v>
      </c>
      <c r="AB367" s="68"/>
      <c r="AC367" s="69"/>
      <c r="AD367" s="83" t="s">
        <v>1407</v>
      </c>
      <c r="AE367" s="83"/>
      <c r="AF367" s="83"/>
      <c r="AG367" s="83"/>
      <c r="AH367" s="83"/>
      <c r="AI367" s="83" t="s">
        <v>2445</v>
      </c>
      <c r="AJ367" s="92">
        <v>42253.88769675926</v>
      </c>
      <c r="AK367" s="89" t="str">
        <f>HYPERLINK("https://yt3.ggpht.com/ytc/AGIKgqNQS4nCSzlj5R3pXIwRv5ot2MbSUIMkOxYZ4_OM=s88-c-k-c0x00ffffff-no-rj")</f>
        <v>https://yt3.ggpht.com/ytc/AGIKgqNQS4nCSzlj5R3pXIwRv5ot2MbSUIMkOxYZ4_OM=s88-c-k-c0x00ffffff-no-rj</v>
      </c>
      <c r="AL367" s="83">
        <v>0</v>
      </c>
      <c r="AM367" s="83">
        <v>0</v>
      </c>
      <c r="AN367" s="83">
        <v>0</v>
      </c>
      <c r="AO367" s="83" t="b">
        <v>0</v>
      </c>
      <c r="AP367" s="83">
        <v>0</v>
      </c>
      <c r="AQ367" s="83"/>
      <c r="AR367" s="83"/>
      <c r="AS367" s="83" t="s">
        <v>2744</v>
      </c>
      <c r="AT367" s="89" t="str">
        <f>HYPERLINK("https://www.youtube.com/channel/UCbmyWohLP1LoDEUqH29nIsw")</f>
        <v>https://www.youtube.com/channel/UCbmyWohLP1LoDEUqH29nIsw</v>
      </c>
      <c r="AU367" s="83" t="str">
        <f>REPLACE(INDEX(GroupVertices[Group],MATCH(Vertices[[#This Row],[Vertex]],GroupVertices[Vertex],0)),1,1,"")</f>
        <v>1</v>
      </c>
      <c r="AV367" s="45"/>
      <c r="AW367" s="46"/>
      <c r="AX367" s="45"/>
      <c r="AY367" s="46"/>
      <c r="AZ367" s="45"/>
      <c r="BA367" s="46"/>
      <c r="BB367" s="45"/>
      <c r="BC367" s="46"/>
      <c r="BD367" s="45"/>
      <c r="BE367" s="110" t="s">
        <v>1874</v>
      </c>
      <c r="BF367" s="110" t="s">
        <v>1874</v>
      </c>
      <c r="BG367" s="110" t="s">
        <v>1874</v>
      </c>
      <c r="BH367" s="110" t="s">
        <v>1874</v>
      </c>
      <c r="BI367" s="2"/>
    </row>
    <row r="368" spans="1:61" ht="15">
      <c r="A368" s="61" t="s">
        <v>570</v>
      </c>
      <c r="B368" s="62" t="s">
        <v>2893</v>
      </c>
      <c r="C368" s="62"/>
      <c r="D368" s="63">
        <v>100</v>
      </c>
      <c r="E368" s="65">
        <v>50</v>
      </c>
      <c r="F368" s="100" t="str">
        <f>HYPERLINK("https://yt3.ggpht.com/ytc/AGIKgqNlPDwoxhjHupc1PCQpsiYu3VnjpTvzBE8S3-CbuQ=s88-c-k-c0x00ffffff-no-rj")</f>
        <v>https://yt3.ggpht.com/ytc/AGIKgqNlPDwoxhjHupc1PCQpsiYu3VnjpTvzBE8S3-CbuQ=s88-c-k-c0x00ffffff-no-rj</v>
      </c>
      <c r="G368" s="62"/>
      <c r="H368" s="66" t="s">
        <v>1408</v>
      </c>
      <c r="I368" s="67"/>
      <c r="J368" s="67" t="s">
        <v>159</v>
      </c>
      <c r="K368" s="66" t="s">
        <v>1408</v>
      </c>
      <c r="L368" s="70"/>
      <c r="M368" s="71">
        <v>603.0931396484375</v>
      </c>
      <c r="N368" s="71">
        <v>6257.80126953125</v>
      </c>
      <c r="O368" s="72"/>
      <c r="P368" s="73"/>
      <c r="Q368" s="73"/>
      <c r="R368" s="94"/>
      <c r="S368" s="45">
        <v>0</v>
      </c>
      <c r="T368" s="45">
        <v>1</v>
      </c>
      <c r="U368" s="46">
        <v>0</v>
      </c>
      <c r="V368" s="46">
        <v>0.122455</v>
      </c>
      <c r="W368" s="46">
        <v>0.068916</v>
      </c>
      <c r="X368" s="46">
        <v>0.002053</v>
      </c>
      <c r="Y368" s="46">
        <v>0</v>
      </c>
      <c r="Z368" s="46">
        <v>0</v>
      </c>
      <c r="AA368" s="68">
        <v>368</v>
      </c>
      <c r="AB368" s="68"/>
      <c r="AC368" s="69"/>
      <c r="AD368" s="83" t="s">
        <v>1408</v>
      </c>
      <c r="AE368" s="83"/>
      <c r="AF368" s="83"/>
      <c r="AG368" s="83"/>
      <c r="AH368" s="83"/>
      <c r="AI368" s="83" t="s">
        <v>2446</v>
      </c>
      <c r="AJ368" s="83" t="s">
        <v>2710</v>
      </c>
      <c r="AK368" s="89" t="str">
        <f>HYPERLINK("https://yt3.ggpht.com/ytc/AGIKgqNlPDwoxhjHupc1PCQpsiYu3VnjpTvzBE8S3-CbuQ=s88-c-k-c0x00ffffff-no-rj")</f>
        <v>https://yt3.ggpht.com/ytc/AGIKgqNlPDwoxhjHupc1PCQpsiYu3VnjpTvzBE8S3-CbuQ=s88-c-k-c0x00ffffff-no-rj</v>
      </c>
      <c r="AL368" s="83">
        <v>770</v>
      </c>
      <c r="AM368" s="83">
        <v>0</v>
      </c>
      <c r="AN368" s="83">
        <v>87</v>
      </c>
      <c r="AO368" s="83" t="b">
        <v>0</v>
      </c>
      <c r="AP368" s="83">
        <v>1</v>
      </c>
      <c r="AQ368" s="83"/>
      <c r="AR368" s="83"/>
      <c r="AS368" s="83" t="s">
        <v>2744</v>
      </c>
      <c r="AT368" s="89" t="str">
        <f>HYPERLINK("https://www.youtube.com/channel/UCg_FrU47GeUXK7JqYmafojQ")</f>
        <v>https://www.youtube.com/channel/UCg_FrU47GeUXK7JqYmafojQ</v>
      </c>
      <c r="AU368" s="83" t="str">
        <f>REPLACE(INDEX(GroupVertices[Group],MATCH(Vertices[[#This Row],[Vertex]],GroupVertices[Vertex],0)),1,1,"")</f>
        <v>1</v>
      </c>
      <c r="AV368" s="45"/>
      <c r="AW368" s="46"/>
      <c r="AX368" s="45"/>
      <c r="AY368" s="46"/>
      <c r="AZ368" s="45"/>
      <c r="BA368" s="46"/>
      <c r="BB368" s="45"/>
      <c r="BC368" s="46"/>
      <c r="BD368" s="45"/>
      <c r="BE368" s="110" t="s">
        <v>1874</v>
      </c>
      <c r="BF368" s="110" t="s">
        <v>1874</v>
      </c>
      <c r="BG368" s="110" t="s">
        <v>1874</v>
      </c>
      <c r="BH368" s="110" t="s">
        <v>1874</v>
      </c>
      <c r="BI368" s="2"/>
    </row>
    <row r="369" spans="1:61" ht="15">
      <c r="A369" s="61" t="s">
        <v>571</v>
      </c>
      <c r="B369" s="62" t="s">
        <v>2893</v>
      </c>
      <c r="C369" s="62"/>
      <c r="D369" s="63">
        <v>100</v>
      </c>
      <c r="E369" s="65">
        <v>50</v>
      </c>
      <c r="F369" s="100" t="str">
        <f>HYPERLINK("https://yt3.ggpht.com/auo73YaL0hB5bkEGmDAxG070F3n5yoTDA4T738A4etBFOThdMiES9QRymfZi_2O9sqYilu_DcA=s88-c-k-c0x00ffffff-no-rj")</f>
        <v>https://yt3.ggpht.com/auo73YaL0hB5bkEGmDAxG070F3n5yoTDA4T738A4etBFOThdMiES9QRymfZi_2O9sqYilu_DcA=s88-c-k-c0x00ffffff-no-rj</v>
      </c>
      <c r="G369" s="62"/>
      <c r="H369" s="66" t="s">
        <v>1409</v>
      </c>
      <c r="I369" s="67"/>
      <c r="J369" s="67" t="s">
        <v>159</v>
      </c>
      <c r="K369" s="66" t="s">
        <v>1409</v>
      </c>
      <c r="L369" s="70"/>
      <c r="M369" s="71">
        <v>289.6746826171875</v>
      </c>
      <c r="N369" s="71">
        <v>6257.80126953125</v>
      </c>
      <c r="O369" s="72"/>
      <c r="P369" s="73"/>
      <c r="Q369" s="73"/>
      <c r="R369" s="94"/>
      <c r="S369" s="45">
        <v>0</v>
      </c>
      <c r="T369" s="45">
        <v>1</v>
      </c>
      <c r="U369" s="46">
        <v>0</v>
      </c>
      <c r="V369" s="46">
        <v>0.122455</v>
      </c>
      <c r="W369" s="46">
        <v>0.068916</v>
      </c>
      <c r="X369" s="46">
        <v>0.002053</v>
      </c>
      <c r="Y369" s="46">
        <v>0</v>
      </c>
      <c r="Z369" s="46">
        <v>0</v>
      </c>
      <c r="AA369" s="68">
        <v>369</v>
      </c>
      <c r="AB369" s="68"/>
      <c r="AC369" s="69"/>
      <c r="AD369" s="83" t="s">
        <v>1409</v>
      </c>
      <c r="AE369" s="83" t="s">
        <v>2048</v>
      </c>
      <c r="AF369" s="83"/>
      <c r="AG369" s="83"/>
      <c r="AH369" s="83"/>
      <c r="AI369" s="83" t="s">
        <v>2447</v>
      </c>
      <c r="AJ369" s="83" t="s">
        <v>2711</v>
      </c>
      <c r="AK369" s="89" t="str">
        <f>HYPERLINK("https://yt3.ggpht.com/auo73YaL0hB5bkEGmDAxG070F3n5yoTDA4T738A4etBFOThdMiES9QRymfZi_2O9sqYilu_DcA=s88-c-k-c0x00ffffff-no-rj")</f>
        <v>https://yt3.ggpht.com/auo73YaL0hB5bkEGmDAxG070F3n5yoTDA4T738A4etBFOThdMiES9QRymfZi_2O9sqYilu_DcA=s88-c-k-c0x00ffffff-no-rj</v>
      </c>
      <c r="AL369" s="83">
        <v>64323</v>
      </c>
      <c r="AM369" s="83">
        <v>0</v>
      </c>
      <c r="AN369" s="83">
        <v>74</v>
      </c>
      <c r="AO369" s="83" t="b">
        <v>0</v>
      </c>
      <c r="AP369" s="83">
        <v>126</v>
      </c>
      <c r="AQ369" s="83"/>
      <c r="AR369" s="83"/>
      <c r="AS369" s="83" t="s">
        <v>2744</v>
      </c>
      <c r="AT369" s="89" t="str">
        <f>HYPERLINK("https://www.youtube.com/channel/UCIeT0Bm2l-1-LcObMaO5RSw")</f>
        <v>https://www.youtube.com/channel/UCIeT0Bm2l-1-LcObMaO5RSw</v>
      </c>
      <c r="AU369" s="83" t="str">
        <f>REPLACE(INDEX(GroupVertices[Group],MATCH(Vertices[[#This Row],[Vertex]],GroupVertices[Vertex],0)),1,1,"")</f>
        <v>1</v>
      </c>
      <c r="AV369" s="45"/>
      <c r="AW369" s="46"/>
      <c r="AX369" s="45"/>
      <c r="AY369" s="46"/>
      <c r="AZ369" s="45"/>
      <c r="BA369" s="46"/>
      <c r="BB369" s="45"/>
      <c r="BC369" s="46"/>
      <c r="BD369" s="45"/>
      <c r="BE369" s="110" t="s">
        <v>1874</v>
      </c>
      <c r="BF369" s="110" t="s">
        <v>1874</v>
      </c>
      <c r="BG369" s="110" t="s">
        <v>1874</v>
      </c>
      <c r="BH369" s="110" t="s">
        <v>1874</v>
      </c>
      <c r="BI369" s="2"/>
    </row>
    <row r="370" spans="1:61" ht="15">
      <c r="A370" s="61" t="s">
        <v>572</v>
      </c>
      <c r="B370" s="62" t="s">
        <v>2893</v>
      </c>
      <c r="C370" s="62"/>
      <c r="D370" s="63">
        <v>100</v>
      </c>
      <c r="E370" s="65">
        <v>50</v>
      </c>
      <c r="F370" s="100" t="str">
        <f>HYPERLINK("https://yt3.ggpht.com/ytc/AGIKgqMVGjbSJqBEHX_a6uxggU8Nmhx71DwcFR0zn0bV=s88-c-k-c0x00ffffff-no-rj")</f>
        <v>https://yt3.ggpht.com/ytc/AGIKgqMVGjbSJqBEHX_a6uxggU8Nmhx71DwcFR0zn0bV=s88-c-k-c0x00ffffff-no-rj</v>
      </c>
      <c r="G370" s="62"/>
      <c r="H370" s="66" t="s">
        <v>1410</v>
      </c>
      <c r="I370" s="67"/>
      <c r="J370" s="67" t="s">
        <v>159</v>
      </c>
      <c r="K370" s="66" t="s">
        <v>1410</v>
      </c>
      <c r="L370" s="70"/>
      <c r="M370" s="71">
        <v>2170.185791015625</v>
      </c>
      <c r="N370" s="71">
        <v>6886.95166015625</v>
      </c>
      <c r="O370" s="72"/>
      <c r="P370" s="73"/>
      <c r="Q370" s="73"/>
      <c r="R370" s="94"/>
      <c r="S370" s="45">
        <v>0</v>
      </c>
      <c r="T370" s="45">
        <v>1</v>
      </c>
      <c r="U370" s="46">
        <v>0</v>
      </c>
      <c r="V370" s="46">
        <v>0.122455</v>
      </c>
      <c r="W370" s="46">
        <v>0.068916</v>
      </c>
      <c r="X370" s="46">
        <v>0.002053</v>
      </c>
      <c r="Y370" s="46">
        <v>0</v>
      </c>
      <c r="Z370" s="46">
        <v>0</v>
      </c>
      <c r="AA370" s="68">
        <v>370</v>
      </c>
      <c r="AB370" s="68"/>
      <c r="AC370" s="69"/>
      <c r="AD370" s="83" t="s">
        <v>1410</v>
      </c>
      <c r="AE370" s="83"/>
      <c r="AF370" s="83"/>
      <c r="AG370" s="83"/>
      <c r="AH370" s="83"/>
      <c r="AI370" s="83" t="s">
        <v>2448</v>
      </c>
      <c r="AJ370" s="92">
        <v>42775.95414351852</v>
      </c>
      <c r="AK370" s="89" t="str">
        <f>HYPERLINK("https://yt3.ggpht.com/ytc/AGIKgqMVGjbSJqBEHX_a6uxggU8Nmhx71DwcFR0zn0bV=s88-c-k-c0x00ffffff-no-rj")</f>
        <v>https://yt3.ggpht.com/ytc/AGIKgqMVGjbSJqBEHX_a6uxggU8Nmhx71DwcFR0zn0bV=s88-c-k-c0x00ffffff-no-rj</v>
      </c>
      <c r="AL370" s="83">
        <v>0</v>
      </c>
      <c r="AM370" s="83">
        <v>0</v>
      </c>
      <c r="AN370" s="83">
        <v>4</v>
      </c>
      <c r="AO370" s="83" t="b">
        <v>0</v>
      </c>
      <c r="AP370" s="83">
        <v>0</v>
      </c>
      <c r="AQ370" s="83"/>
      <c r="AR370" s="83"/>
      <c r="AS370" s="83" t="s">
        <v>2744</v>
      </c>
      <c r="AT370" s="89" t="str">
        <f>HYPERLINK("https://www.youtube.com/channel/UCq0nhgtEFh7UhoxBA4q2fig")</f>
        <v>https://www.youtube.com/channel/UCq0nhgtEFh7UhoxBA4q2fig</v>
      </c>
      <c r="AU370" s="83" t="str">
        <f>REPLACE(INDEX(GroupVertices[Group],MATCH(Vertices[[#This Row],[Vertex]],GroupVertices[Vertex],0)),1,1,"")</f>
        <v>1</v>
      </c>
      <c r="AV370" s="45"/>
      <c r="AW370" s="46"/>
      <c r="AX370" s="45"/>
      <c r="AY370" s="46"/>
      <c r="AZ370" s="45"/>
      <c r="BA370" s="46"/>
      <c r="BB370" s="45"/>
      <c r="BC370" s="46"/>
      <c r="BD370" s="45"/>
      <c r="BE370" s="110" t="s">
        <v>1874</v>
      </c>
      <c r="BF370" s="110" t="s">
        <v>1874</v>
      </c>
      <c r="BG370" s="110" t="s">
        <v>1874</v>
      </c>
      <c r="BH370" s="110" t="s">
        <v>1874</v>
      </c>
      <c r="BI370" s="2"/>
    </row>
    <row r="371" spans="1:61" ht="15">
      <c r="A371" s="61" t="s">
        <v>573</v>
      </c>
      <c r="B371" s="62" t="s">
        <v>2893</v>
      </c>
      <c r="C371" s="62"/>
      <c r="D371" s="63">
        <v>100</v>
      </c>
      <c r="E371" s="65">
        <v>50</v>
      </c>
      <c r="F371" s="100" t="str">
        <f>HYPERLINK("https://yt3.ggpht.com/ytc/AGIKgqPYhqIIMeOiTD9nEOtqO3AJ4e-uVajRA-F9BhYH-w=s88-c-k-c0x00ffffff-no-rj")</f>
        <v>https://yt3.ggpht.com/ytc/AGIKgqPYhqIIMeOiTD9nEOtqO3AJ4e-uVajRA-F9BhYH-w=s88-c-k-c0x00ffffff-no-rj</v>
      </c>
      <c r="G371" s="62"/>
      <c r="H371" s="66" t="s">
        <v>1411</v>
      </c>
      <c r="I371" s="67"/>
      <c r="J371" s="67" t="s">
        <v>159</v>
      </c>
      <c r="K371" s="66" t="s">
        <v>1411</v>
      </c>
      <c r="L371" s="70"/>
      <c r="M371" s="71">
        <v>1856.76708984375</v>
      </c>
      <c r="N371" s="71">
        <v>6886.95166015625</v>
      </c>
      <c r="O371" s="72"/>
      <c r="P371" s="73"/>
      <c r="Q371" s="73"/>
      <c r="R371" s="94"/>
      <c r="S371" s="45">
        <v>0</v>
      </c>
      <c r="T371" s="45">
        <v>1</v>
      </c>
      <c r="U371" s="46">
        <v>0</v>
      </c>
      <c r="V371" s="46">
        <v>0.122455</v>
      </c>
      <c r="W371" s="46">
        <v>0.068916</v>
      </c>
      <c r="X371" s="46">
        <v>0.002053</v>
      </c>
      <c r="Y371" s="46">
        <v>0</v>
      </c>
      <c r="Z371" s="46">
        <v>0</v>
      </c>
      <c r="AA371" s="68">
        <v>371</v>
      </c>
      <c r="AB371" s="68"/>
      <c r="AC371" s="69"/>
      <c r="AD371" s="83" t="s">
        <v>1411</v>
      </c>
      <c r="AE371" s="83"/>
      <c r="AF371" s="83"/>
      <c r="AG371" s="83"/>
      <c r="AH371" s="83"/>
      <c r="AI371" s="83" t="s">
        <v>2449</v>
      </c>
      <c r="AJ371" s="83" t="s">
        <v>2712</v>
      </c>
      <c r="AK371" s="89" t="str">
        <f>HYPERLINK("https://yt3.ggpht.com/ytc/AGIKgqPYhqIIMeOiTD9nEOtqO3AJ4e-uVajRA-F9BhYH-w=s88-c-k-c0x00ffffff-no-rj")</f>
        <v>https://yt3.ggpht.com/ytc/AGIKgqPYhqIIMeOiTD9nEOtqO3AJ4e-uVajRA-F9BhYH-w=s88-c-k-c0x00ffffff-no-rj</v>
      </c>
      <c r="AL371" s="83">
        <v>0</v>
      </c>
      <c r="AM371" s="83">
        <v>0</v>
      </c>
      <c r="AN371" s="83">
        <v>27</v>
      </c>
      <c r="AO371" s="83" t="b">
        <v>0</v>
      </c>
      <c r="AP371" s="83">
        <v>0</v>
      </c>
      <c r="AQ371" s="83"/>
      <c r="AR371" s="83"/>
      <c r="AS371" s="83" t="s">
        <v>2744</v>
      </c>
      <c r="AT371" s="89" t="str">
        <f>HYPERLINK("https://www.youtube.com/channel/UCsogXGsI8hRJ5m715mxvCWQ")</f>
        <v>https://www.youtube.com/channel/UCsogXGsI8hRJ5m715mxvCWQ</v>
      </c>
      <c r="AU371" s="83" t="str">
        <f>REPLACE(INDEX(GroupVertices[Group],MATCH(Vertices[[#This Row],[Vertex]],GroupVertices[Vertex],0)),1,1,"")</f>
        <v>1</v>
      </c>
      <c r="AV371" s="45"/>
      <c r="AW371" s="46"/>
      <c r="AX371" s="45"/>
      <c r="AY371" s="46"/>
      <c r="AZ371" s="45"/>
      <c r="BA371" s="46"/>
      <c r="BB371" s="45"/>
      <c r="BC371" s="46"/>
      <c r="BD371" s="45"/>
      <c r="BE371" s="110" t="s">
        <v>1874</v>
      </c>
      <c r="BF371" s="110" t="s">
        <v>1874</v>
      </c>
      <c r="BG371" s="110" t="s">
        <v>1874</v>
      </c>
      <c r="BH371" s="110" t="s">
        <v>1874</v>
      </c>
      <c r="BI371" s="2"/>
    </row>
    <row r="372" spans="1:61" ht="15">
      <c r="A372" s="61" t="s">
        <v>574</v>
      </c>
      <c r="B372" s="62" t="s">
        <v>2893</v>
      </c>
      <c r="C372" s="62"/>
      <c r="D372" s="63">
        <v>100</v>
      </c>
      <c r="E372" s="65">
        <v>50</v>
      </c>
      <c r="F372" s="100" t="str">
        <f>HYPERLINK("https://yt3.ggpht.com/mtDA5K_lNbjbK1g2mZv7hRTlkMUi9RLFzg1mbnW4ZJf_pBnDKm8y-1tLf3Nuu19edh4ap7-Heg=s88-c-k-c0x00ffffff-no-rj")</f>
        <v>https://yt3.ggpht.com/mtDA5K_lNbjbK1g2mZv7hRTlkMUi9RLFzg1mbnW4ZJf_pBnDKm8y-1tLf3Nuu19edh4ap7-Heg=s88-c-k-c0x00ffffff-no-rj</v>
      </c>
      <c r="G372" s="62"/>
      <c r="H372" s="66" t="s">
        <v>1412</v>
      </c>
      <c r="I372" s="67"/>
      <c r="J372" s="67" t="s">
        <v>159</v>
      </c>
      <c r="K372" s="66" t="s">
        <v>1412</v>
      </c>
      <c r="L372" s="70"/>
      <c r="M372" s="71">
        <v>1543.3487548828125</v>
      </c>
      <c r="N372" s="71">
        <v>6886.95166015625</v>
      </c>
      <c r="O372" s="72"/>
      <c r="P372" s="73"/>
      <c r="Q372" s="73"/>
      <c r="R372" s="94"/>
      <c r="S372" s="45">
        <v>0</v>
      </c>
      <c r="T372" s="45">
        <v>1</v>
      </c>
      <c r="U372" s="46">
        <v>0</v>
      </c>
      <c r="V372" s="46">
        <v>0.122455</v>
      </c>
      <c r="W372" s="46">
        <v>0.068916</v>
      </c>
      <c r="X372" s="46">
        <v>0.002053</v>
      </c>
      <c r="Y372" s="46">
        <v>0</v>
      </c>
      <c r="Z372" s="46">
        <v>0</v>
      </c>
      <c r="AA372" s="68">
        <v>372</v>
      </c>
      <c r="AB372" s="68"/>
      <c r="AC372" s="69"/>
      <c r="AD372" s="83" t="s">
        <v>1412</v>
      </c>
      <c r="AE372" s="83" t="s">
        <v>2049</v>
      </c>
      <c r="AF372" s="83"/>
      <c r="AG372" s="83"/>
      <c r="AH372" s="83"/>
      <c r="AI372" s="83" t="s">
        <v>2450</v>
      </c>
      <c r="AJ372" s="92">
        <v>42526.63155092593</v>
      </c>
      <c r="AK372" s="89" t="str">
        <f>HYPERLINK("https://yt3.ggpht.com/mtDA5K_lNbjbK1g2mZv7hRTlkMUi9RLFzg1mbnW4ZJf_pBnDKm8y-1tLf3Nuu19edh4ap7-Heg=s88-c-k-c0x00ffffff-no-rj")</f>
        <v>https://yt3.ggpht.com/mtDA5K_lNbjbK1g2mZv7hRTlkMUi9RLFzg1mbnW4ZJf_pBnDKm8y-1tLf3Nuu19edh4ap7-Heg=s88-c-k-c0x00ffffff-no-rj</v>
      </c>
      <c r="AL372" s="83">
        <v>158</v>
      </c>
      <c r="AM372" s="83">
        <v>0</v>
      </c>
      <c r="AN372" s="83">
        <v>1340</v>
      </c>
      <c r="AO372" s="83" t="b">
        <v>0</v>
      </c>
      <c r="AP372" s="83">
        <v>2</v>
      </c>
      <c r="AQ372" s="83"/>
      <c r="AR372" s="83"/>
      <c r="AS372" s="83" t="s">
        <v>2744</v>
      </c>
      <c r="AT372" s="89" t="str">
        <f>HYPERLINK("https://www.youtube.com/channel/UC_l25YJ5yelJH-xudRj8YkQ")</f>
        <v>https://www.youtube.com/channel/UC_l25YJ5yelJH-xudRj8YkQ</v>
      </c>
      <c r="AU372" s="83" t="str">
        <f>REPLACE(INDEX(GroupVertices[Group],MATCH(Vertices[[#This Row],[Vertex]],GroupVertices[Vertex],0)),1,1,"")</f>
        <v>1</v>
      </c>
      <c r="AV372" s="45"/>
      <c r="AW372" s="46"/>
      <c r="AX372" s="45"/>
      <c r="AY372" s="46"/>
      <c r="AZ372" s="45"/>
      <c r="BA372" s="46"/>
      <c r="BB372" s="45"/>
      <c r="BC372" s="46"/>
      <c r="BD372" s="45"/>
      <c r="BE372" s="110" t="s">
        <v>1874</v>
      </c>
      <c r="BF372" s="110" t="s">
        <v>1874</v>
      </c>
      <c r="BG372" s="110" t="s">
        <v>1874</v>
      </c>
      <c r="BH372" s="110" t="s">
        <v>1874</v>
      </c>
      <c r="BI372" s="2"/>
    </row>
    <row r="373" spans="1:61" ht="15">
      <c r="A373" s="61" t="s">
        <v>575</v>
      </c>
      <c r="B373" s="62" t="s">
        <v>2893</v>
      </c>
      <c r="C373" s="62"/>
      <c r="D373" s="63">
        <v>100</v>
      </c>
      <c r="E373" s="65">
        <v>50</v>
      </c>
      <c r="F373" s="100" t="str">
        <f>HYPERLINK("https://yt3.ggpht.com/s6MINp6tXgxMb1SydGupUcSo47ltyzmpXxMBx4xkr0qycbon4uqSMi3563N25dqwCiQycetr=s88-c-k-c0x00ffffff-no-rj")</f>
        <v>https://yt3.ggpht.com/s6MINp6tXgxMb1SydGupUcSo47ltyzmpXxMBx4xkr0qycbon4uqSMi3563N25dqwCiQycetr=s88-c-k-c0x00ffffff-no-rj</v>
      </c>
      <c r="G373" s="62"/>
      <c r="H373" s="66" t="s">
        <v>1413</v>
      </c>
      <c r="I373" s="67"/>
      <c r="J373" s="67" t="s">
        <v>159</v>
      </c>
      <c r="K373" s="66" t="s">
        <v>1413</v>
      </c>
      <c r="L373" s="70"/>
      <c r="M373" s="71">
        <v>1229.93017578125</v>
      </c>
      <c r="N373" s="71">
        <v>6886.95166015625</v>
      </c>
      <c r="O373" s="72"/>
      <c r="P373" s="73"/>
      <c r="Q373" s="73"/>
      <c r="R373" s="94"/>
      <c r="S373" s="45">
        <v>0</v>
      </c>
      <c r="T373" s="45">
        <v>1</v>
      </c>
      <c r="U373" s="46">
        <v>0</v>
      </c>
      <c r="V373" s="46">
        <v>0.122455</v>
      </c>
      <c r="W373" s="46">
        <v>0.068916</v>
      </c>
      <c r="X373" s="46">
        <v>0.002053</v>
      </c>
      <c r="Y373" s="46">
        <v>0</v>
      </c>
      <c r="Z373" s="46">
        <v>0</v>
      </c>
      <c r="AA373" s="68">
        <v>373</v>
      </c>
      <c r="AB373" s="68"/>
      <c r="AC373" s="69"/>
      <c r="AD373" s="83" t="s">
        <v>1413</v>
      </c>
      <c r="AE373" s="83"/>
      <c r="AF373" s="83"/>
      <c r="AG373" s="83"/>
      <c r="AH373" s="83"/>
      <c r="AI373" s="83" t="s">
        <v>2451</v>
      </c>
      <c r="AJ373" s="83" t="s">
        <v>2713</v>
      </c>
      <c r="AK373" s="89" t="str">
        <f>HYPERLINK("https://yt3.ggpht.com/s6MINp6tXgxMb1SydGupUcSo47ltyzmpXxMBx4xkr0qycbon4uqSMi3563N25dqwCiQycetr=s88-c-k-c0x00ffffff-no-rj")</f>
        <v>https://yt3.ggpht.com/s6MINp6tXgxMb1SydGupUcSo47ltyzmpXxMBx4xkr0qycbon4uqSMi3563N25dqwCiQycetr=s88-c-k-c0x00ffffff-no-rj</v>
      </c>
      <c r="AL373" s="83">
        <v>10307</v>
      </c>
      <c r="AM373" s="83">
        <v>0</v>
      </c>
      <c r="AN373" s="83">
        <v>14</v>
      </c>
      <c r="AO373" s="83" t="b">
        <v>0</v>
      </c>
      <c r="AP373" s="83">
        <v>26</v>
      </c>
      <c r="AQ373" s="83"/>
      <c r="AR373" s="83"/>
      <c r="AS373" s="83" t="s">
        <v>2744</v>
      </c>
      <c r="AT373" s="89" t="str">
        <f>HYPERLINK("https://www.youtube.com/channel/UClZPxSff05u4qlf92KJoLFw")</f>
        <v>https://www.youtube.com/channel/UClZPxSff05u4qlf92KJoLFw</v>
      </c>
      <c r="AU373" s="83" t="str">
        <f>REPLACE(INDEX(GroupVertices[Group],MATCH(Vertices[[#This Row],[Vertex]],GroupVertices[Vertex],0)),1,1,"")</f>
        <v>1</v>
      </c>
      <c r="AV373" s="45"/>
      <c r="AW373" s="46"/>
      <c r="AX373" s="45"/>
      <c r="AY373" s="46"/>
      <c r="AZ373" s="45"/>
      <c r="BA373" s="46"/>
      <c r="BB373" s="45"/>
      <c r="BC373" s="46"/>
      <c r="BD373" s="45"/>
      <c r="BE373" s="110" t="s">
        <v>1874</v>
      </c>
      <c r="BF373" s="110" t="s">
        <v>1874</v>
      </c>
      <c r="BG373" s="110" t="s">
        <v>1874</v>
      </c>
      <c r="BH373" s="110" t="s">
        <v>1874</v>
      </c>
      <c r="BI373" s="2"/>
    </row>
    <row r="374" spans="1:61" ht="15">
      <c r="A374" s="61" t="s">
        <v>576</v>
      </c>
      <c r="B374" s="62" t="s">
        <v>2893</v>
      </c>
      <c r="C374" s="62"/>
      <c r="D374" s="63">
        <v>100</v>
      </c>
      <c r="E374" s="65">
        <v>50</v>
      </c>
      <c r="F374" s="100" t="str">
        <f>HYPERLINK("https://yt3.ggpht.com/ytc/AGIKgqNuCq5V5LaTaJBSHpsheq3xI6MqnOxkUKcyP9hZwA=s88-c-k-c0x00ffffff-no-rj")</f>
        <v>https://yt3.ggpht.com/ytc/AGIKgqNuCq5V5LaTaJBSHpsheq3xI6MqnOxkUKcyP9hZwA=s88-c-k-c0x00ffffff-no-rj</v>
      </c>
      <c r="G374" s="62"/>
      <c r="H374" s="66" t="s">
        <v>1414</v>
      </c>
      <c r="I374" s="67"/>
      <c r="J374" s="67" t="s">
        <v>159</v>
      </c>
      <c r="K374" s="66" t="s">
        <v>1414</v>
      </c>
      <c r="L374" s="70"/>
      <c r="M374" s="71">
        <v>916.51171875</v>
      </c>
      <c r="N374" s="71">
        <v>6886.95166015625</v>
      </c>
      <c r="O374" s="72"/>
      <c r="P374" s="73"/>
      <c r="Q374" s="73"/>
      <c r="R374" s="94"/>
      <c r="S374" s="45">
        <v>0</v>
      </c>
      <c r="T374" s="45">
        <v>1</v>
      </c>
      <c r="U374" s="46">
        <v>0</v>
      </c>
      <c r="V374" s="46">
        <v>0.122455</v>
      </c>
      <c r="W374" s="46">
        <v>0.068916</v>
      </c>
      <c r="X374" s="46">
        <v>0.002053</v>
      </c>
      <c r="Y374" s="46">
        <v>0</v>
      </c>
      <c r="Z374" s="46">
        <v>0</v>
      </c>
      <c r="AA374" s="68">
        <v>374</v>
      </c>
      <c r="AB374" s="68"/>
      <c r="AC374" s="69"/>
      <c r="AD374" s="83" t="s">
        <v>1414</v>
      </c>
      <c r="AE374" s="83" t="s">
        <v>2050</v>
      </c>
      <c r="AF374" s="83"/>
      <c r="AG374" s="83"/>
      <c r="AH374" s="83"/>
      <c r="AI374" s="83" t="s">
        <v>2452</v>
      </c>
      <c r="AJ374" s="83" t="s">
        <v>2714</v>
      </c>
      <c r="AK374" s="89" t="str">
        <f>HYPERLINK("https://yt3.ggpht.com/ytc/AGIKgqNuCq5V5LaTaJBSHpsheq3xI6MqnOxkUKcyP9hZwA=s88-c-k-c0x00ffffff-no-rj")</f>
        <v>https://yt3.ggpht.com/ytc/AGIKgqNuCq5V5LaTaJBSHpsheq3xI6MqnOxkUKcyP9hZwA=s88-c-k-c0x00ffffff-no-rj</v>
      </c>
      <c r="AL374" s="83">
        <v>0</v>
      </c>
      <c r="AM374" s="83">
        <v>0</v>
      </c>
      <c r="AN374" s="83">
        <v>13</v>
      </c>
      <c r="AO374" s="83" t="b">
        <v>0</v>
      </c>
      <c r="AP374" s="83">
        <v>0</v>
      </c>
      <c r="AQ374" s="83"/>
      <c r="AR374" s="83"/>
      <c r="AS374" s="83" t="s">
        <v>2744</v>
      </c>
      <c r="AT374" s="89" t="str">
        <f>HYPERLINK("https://www.youtube.com/channel/UCps0elc8IDTCqXTWGTbqdhw")</f>
        <v>https://www.youtube.com/channel/UCps0elc8IDTCqXTWGTbqdhw</v>
      </c>
      <c r="AU374" s="83" t="str">
        <f>REPLACE(INDEX(GroupVertices[Group],MATCH(Vertices[[#This Row],[Vertex]],GroupVertices[Vertex],0)),1,1,"")</f>
        <v>1</v>
      </c>
      <c r="AV374" s="45"/>
      <c r="AW374" s="46"/>
      <c r="AX374" s="45"/>
      <c r="AY374" s="46"/>
      <c r="AZ374" s="45"/>
      <c r="BA374" s="46"/>
      <c r="BB374" s="45"/>
      <c r="BC374" s="46"/>
      <c r="BD374" s="45"/>
      <c r="BE374" s="110" t="s">
        <v>1874</v>
      </c>
      <c r="BF374" s="110" t="s">
        <v>1874</v>
      </c>
      <c r="BG374" s="110" t="s">
        <v>1874</v>
      </c>
      <c r="BH374" s="110" t="s">
        <v>1874</v>
      </c>
      <c r="BI374" s="2"/>
    </row>
    <row r="375" spans="1:61" ht="15">
      <c r="A375" s="61" t="s">
        <v>577</v>
      </c>
      <c r="B375" s="62" t="s">
        <v>2893</v>
      </c>
      <c r="C375" s="62"/>
      <c r="D375" s="63">
        <v>100</v>
      </c>
      <c r="E375" s="65">
        <v>50</v>
      </c>
      <c r="F375" s="100" t="str">
        <f>HYPERLINK("https://yt3.ggpht.com/ytc/AGIKgqM3wuwvRESEDLXNQ--4iUz8kUltHm8HMpzTpBZj=s88-c-k-c0x00ffffff-no-rj")</f>
        <v>https://yt3.ggpht.com/ytc/AGIKgqM3wuwvRESEDLXNQ--4iUz8kUltHm8HMpzTpBZj=s88-c-k-c0x00ffffff-no-rj</v>
      </c>
      <c r="G375" s="62"/>
      <c r="H375" s="66" t="s">
        <v>1415</v>
      </c>
      <c r="I375" s="67"/>
      <c r="J375" s="67" t="s">
        <v>159</v>
      </c>
      <c r="K375" s="66" t="s">
        <v>1415</v>
      </c>
      <c r="L375" s="70"/>
      <c r="M375" s="71">
        <v>603.0931396484375</v>
      </c>
      <c r="N375" s="71">
        <v>6886.95166015625</v>
      </c>
      <c r="O375" s="72"/>
      <c r="P375" s="73"/>
      <c r="Q375" s="73"/>
      <c r="R375" s="94"/>
      <c r="S375" s="45">
        <v>0</v>
      </c>
      <c r="T375" s="45">
        <v>1</v>
      </c>
      <c r="U375" s="46">
        <v>0</v>
      </c>
      <c r="V375" s="46">
        <v>0.122455</v>
      </c>
      <c r="W375" s="46">
        <v>0.068916</v>
      </c>
      <c r="X375" s="46">
        <v>0.002053</v>
      </c>
      <c r="Y375" s="46">
        <v>0</v>
      </c>
      <c r="Z375" s="46">
        <v>0</v>
      </c>
      <c r="AA375" s="68">
        <v>375</v>
      </c>
      <c r="AB375" s="68"/>
      <c r="AC375" s="69"/>
      <c r="AD375" s="83" t="s">
        <v>1415</v>
      </c>
      <c r="AE375" s="83"/>
      <c r="AF375" s="83"/>
      <c r="AG375" s="83"/>
      <c r="AH375" s="83"/>
      <c r="AI375" s="83" t="s">
        <v>2453</v>
      </c>
      <c r="AJ375" s="83" t="s">
        <v>2715</v>
      </c>
      <c r="AK375" s="89" t="str">
        <f>HYPERLINK("https://yt3.ggpht.com/ytc/AGIKgqM3wuwvRESEDLXNQ--4iUz8kUltHm8HMpzTpBZj=s88-c-k-c0x00ffffff-no-rj")</f>
        <v>https://yt3.ggpht.com/ytc/AGIKgqM3wuwvRESEDLXNQ--4iUz8kUltHm8HMpzTpBZj=s88-c-k-c0x00ffffff-no-rj</v>
      </c>
      <c r="AL375" s="83">
        <v>6610</v>
      </c>
      <c r="AM375" s="83">
        <v>0</v>
      </c>
      <c r="AN375" s="83">
        <v>134</v>
      </c>
      <c r="AO375" s="83" t="b">
        <v>0</v>
      </c>
      <c r="AP375" s="83">
        <v>6</v>
      </c>
      <c r="AQ375" s="83"/>
      <c r="AR375" s="83"/>
      <c r="AS375" s="83" t="s">
        <v>2744</v>
      </c>
      <c r="AT375" s="89" t="str">
        <f>HYPERLINK("https://www.youtube.com/channel/UC9hcWrXpXWSxygdlZBV_7-A")</f>
        <v>https://www.youtube.com/channel/UC9hcWrXpXWSxygdlZBV_7-A</v>
      </c>
      <c r="AU375" s="83" t="str">
        <f>REPLACE(INDEX(GroupVertices[Group],MATCH(Vertices[[#This Row],[Vertex]],GroupVertices[Vertex],0)),1,1,"")</f>
        <v>1</v>
      </c>
      <c r="AV375" s="45"/>
      <c r="AW375" s="46"/>
      <c r="AX375" s="45"/>
      <c r="AY375" s="46"/>
      <c r="AZ375" s="45"/>
      <c r="BA375" s="46"/>
      <c r="BB375" s="45"/>
      <c r="BC375" s="46"/>
      <c r="BD375" s="45"/>
      <c r="BE375" s="110" t="s">
        <v>1874</v>
      </c>
      <c r="BF375" s="110" t="s">
        <v>1874</v>
      </c>
      <c r="BG375" s="110" t="s">
        <v>1874</v>
      </c>
      <c r="BH375" s="110" t="s">
        <v>1874</v>
      </c>
      <c r="BI375" s="2"/>
    </row>
    <row r="376" spans="1:61" ht="15">
      <c r="A376" s="61" t="s">
        <v>578</v>
      </c>
      <c r="B376" s="62" t="s">
        <v>2893</v>
      </c>
      <c r="C376" s="62"/>
      <c r="D376" s="63">
        <v>100</v>
      </c>
      <c r="E376" s="65">
        <v>50</v>
      </c>
      <c r="F376" s="100" t="str">
        <f>HYPERLINK("https://yt3.ggpht.com/ytc/AGIKgqPO1sXuMdwc5jukrLBc2wHov3vGMizMdyKodVFWUA=s88-c-k-c0x00ffffff-no-rj")</f>
        <v>https://yt3.ggpht.com/ytc/AGIKgqPO1sXuMdwc5jukrLBc2wHov3vGMizMdyKodVFWUA=s88-c-k-c0x00ffffff-no-rj</v>
      </c>
      <c r="G376" s="62"/>
      <c r="H376" s="66" t="s">
        <v>1416</v>
      </c>
      <c r="I376" s="67"/>
      <c r="J376" s="67" t="s">
        <v>159</v>
      </c>
      <c r="K376" s="66" t="s">
        <v>1416</v>
      </c>
      <c r="L376" s="70"/>
      <c r="M376" s="71">
        <v>289.6746826171875</v>
      </c>
      <c r="N376" s="71">
        <v>6886.95166015625</v>
      </c>
      <c r="O376" s="72"/>
      <c r="P376" s="73"/>
      <c r="Q376" s="73"/>
      <c r="R376" s="94"/>
      <c r="S376" s="45">
        <v>0</v>
      </c>
      <c r="T376" s="45">
        <v>1</v>
      </c>
      <c r="U376" s="46">
        <v>0</v>
      </c>
      <c r="V376" s="46">
        <v>0.122455</v>
      </c>
      <c r="W376" s="46">
        <v>0.068916</v>
      </c>
      <c r="X376" s="46">
        <v>0.002053</v>
      </c>
      <c r="Y376" s="46">
        <v>0</v>
      </c>
      <c r="Z376" s="46">
        <v>0</v>
      </c>
      <c r="AA376" s="68">
        <v>376</v>
      </c>
      <c r="AB376" s="68"/>
      <c r="AC376" s="69"/>
      <c r="AD376" s="83" t="s">
        <v>1416</v>
      </c>
      <c r="AE376" s="83" t="s">
        <v>2051</v>
      </c>
      <c r="AF376" s="83"/>
      <c r="AG376" s="83"/>
      <c r="AH376" s="83"/>
      <c r="AI376" s="83" t="s">
        <v>2454</v>
      </c>
      <c r="AJ376" s="83" t="s">
        <v>2716</v>
      </c>
      <c r="AK376" s="89" t="str">
        <f>HYPERLINK("https://yt3.ggpht.com/ytc/AGIKgqPO1sXuMdwc5jukrLBc2wHov3vGMizMdyKodVFWUA=s88-c-k-c0x00ffffff-no-rj")</f>
        <v>https://yt3.ggpht.com/ytc/AGIKgqPO1sXuMdwc5jukrLBc2wHov3vGMizMdyKodVFWUA=s88-c-k-c0x00ffffff-no-rj</v>
      </c>
      <c r="AL376" s="83">
        <v>50</v>
      </c>
      <c r="AM376" s="83">
        <v>0</v>
      </c>
      <c r="AN376" s="83">
        <v>24</v>
      </c>
      <c r="AO376" s="83" t="b">
        <v>0</v>
      </c>
      <c r="AP376" s="83">
        <v>2</v>
      </c>
      <c r="AQ376" s="83"/>
      <c r="AR376" s="83"/>
      <c r="AS376" s="83" t="s">
        <v>2744</v>
      </c>
      <c r="AT376" s="89" t="str">
        <f>HYPERLINK("https://www.youtube.com/channel/UCw_0dy4LmQMSMf_QEL3Qsqg")</f>
        <v>https://www.youtube.com/channel/UCw_0dy4LmQMSMf_QEL3Qsqg</v>
      </c>
      <c r="AU376" s="83" t="str">
        <f>REPLACE(INDEX(GroupVertices[Group],MATCH(Vertices[[#This Row],[Vertex]],GroupVertices[Vertex],0)),1,1,"")</f>
        <v>1</v>
      </c>
      <c r="AV376" s="45"/>
      <c r="AW376" s="46"/>
      <c r="AX376" s="45"/>
      <c r="AY376" s="46"/>
      <c r="AZ376" s="45"/>
      <c r="BA376" s="46"/>
      <c r="BB376" s="45"/>
      <c r="BC376" s="46"/>
      <c r="BD376" s="45"/>
      <c r="BE376" s="110" t="s">
        <v>1874</v>
      </c>
      <c r="BF376" s="110" t="s">
        <v>1874</v>
      </c>
      <c r="BG376" s="110" t="s">
        <v>1874</v>
      </c>
      <c r="BH376" s="110" t="s">
        <v>1874</v>
      </c>
      <c r="BI376" s="2"/>
    </row>
    <row r="377" spans="1:61" ht="15">
      <c r="A377" s="61" t="s">
        <v>579</v>
      </c>
      <c r="B377" s="62" t="s">
        <v>2893</v>
      </c>
      <c r="C377" s="62"/>
      <c r="D377" s="63">
        <v>100</v>
      </c>
      <c r="E377" s="65">
        <v>50</v>
      </c>
      <c r="F377" s="100" t="str">
        <f>HYPERLINK("https://yt3.ggpht.com/mWHVLVYLegW51F8oWe7GCWqJk-LtCko3wRqfX2nzXvSkxwXDQT0ROJHiwGodqFxjuQIS5FaRqA=s88-c-k-c0x00ffffff-no-rj")</f>
        <v>https://yt3.ggpht.com/mWHVLVYLegW51F8oWe7GCWqJk-LtCko3wRqfX2nzXvSkxwXDQT0ROJHiwGodqFxjuQIS5FaRqA=s88-c-k-c0x00ffffff-no-rj</v>
      </c>
      <c r="G377" s="62"/>
      <c r="H377" s="66" t="s">
        <v>1417</v>
      </c>
      <c r="I377" s="67"/>
      <c r="J377" s="67" t="s">
        <v>159</v>
      </c>
      <c r="K377" s="66" t="s">
        <v>1417</v>
      </c>
      <c r="L377" s="70"/>
      <c r="M377" s="71">
        <v>2170.185791015625</v>
      </c>
      <c r="N377" s="71">
        <v>7516.1025390625</v>
      </c>
      <c r="O377" s="72"/>
      <c r="P377" s="73"/>
      <c r="Q377" s="73"/>
      <c r="R377" s="94"/>
      <c r="S377" s="45">
        <v>0</v>
      </c>
      <c r="T377" s="45">
        <v>1</v>
      </c>
      <c r="U377" s="46">
        <v>0</v>
      </c>
      <c r="V377" s="46">
        <v>0.122455</v>
      </c>
      <c r="W377" s="46">
        <v>0.068916</v>
      </c>
      <c r="X377" s="46">
        <v>0.002053</v>
      </c>
      <c r="Y377" s="46">
        <v>0</v>
      </c>
      <c r="Z377" s="46">
        <v>0</v>
      </c>
      <c r="AA377" s="68">
        <v>377</v>
      </c>
      <c r="AB377" s="68"/>
      <c r="AC377" s="69"/>
      <c r="AD377" s="83" t="s">
        <v>1417</v>
      </c>
      <c r="AE377" s="83"/>
      <c r="AF377" s="83"/>
      <c r="AG377" s="83"/>
      <c r="AH377" s="83"/>
      <c r="AI377" s="83" t="s">
        <v>2455</v>
      </c>
      <c r="AJ377" s="92">
        <v>42493.42443287037</v>
      </c>
      <c r="AK377" s="89" t="str">
        <f>HYPERLINK("https://yt3.ggpht.com/mWHVLVYLegW51F8oWe7GCWqJk-LtCko3wRqfX2nzXvSkxwXDQT0ROJHiwGodqFxjuQIS5FaRqA=s88-c-k-c0x00ffffff-no-rj")</f>
        <v>https://yt3.ggpht.com/mWHVLVYLegW51F8oWe7GCWqJk-LtCko3wRqfX2nzXvSkxwXDQT0ROJHiwGodqFxjuQIS5FaRqA=s88-c-k-c0x00ffffff-no-rj</v>
      </c>
      <c r="AL377" s="83">
        <v>0</v>
      </c>
      <c r="AM377" s="83">
        <v>0</v>
      </c>
      <c r="AN377" s="83">
        <v>134</v>
      </c>
      <c r="AO377" s="83" t="b">
        <v>0</v>
      </c>
      <c r="AP377" s="83">
        <v>0</v>
      </c>
      <c r="AQ377" s="83"/>
      <c r="AR377" s="83"/>
      <c r="AS377" s="83" t="s">
        <v>2744</v>
      </c>
      <c r="AT377" s="89" t="str">
        <f>HYPERLINK("https://www.youtube.com/channel/UC3b62ijvc9UfM_aKUVqxGgw")</f>
        <v>https://www.youtube.com/channel/UC3b62ijvc9UfM_aKUVqxGgw</v>
      </c>
      <c r="AU377" s="83" t="str">
        <f>REPLACE(INDEX(GroupVertices[Group],MATCH(Vertices[[#This Row],[Vertex]],GroupVertices[Vertex],0)),1,1,"")</f>
        <v>1</v>
      </c>
      <c r="AV377" s="45"/>
      <c r="AW377" s="46"/>
      <c r="AX377" s="45"/>
      <c r="AY377" s="46"/>
      <c r="AZ377" s="45"/>
      <c r="BA377" s="46"/>
      <c r="BB377" s="45"/>
      <c r="BC377" s="46"/>
      <c r="BD377" s="45"/>
      <c r="BE377" s="110" t="s">
        <v>1874</v>
      </c>
      <c r="BF377" s="110" t="s">
        <v>1874</v>
      </c>
      <c r="BG377" s="110" t="s">
        <v>1874</v>
      </c>
      <c r="BH377" s="110" t="s">
        <v>1874</v>
      </c>
      <c r="BI377" s="2"/>
    </row>
    <row r="378" spans="1:61" ht="15">
      <c r="A378" s="61" t="s">
        <v>580</v>
      </c>
      <c r="B378" s="62" t="s">
        <v>2893</v>
      </c>
      <c r="C378" s="62"/>
      <c r="D378" s="63">
        <v>100</v>
      </c>
      <c r="E378" s="65">
        <v>50</v>
      </c>
      <c r="F378" s="100" t="str">
        <f>HYPERLINK("https://yt3.ggpht.com/ytc/AGIKgqM1_RnOXHBwriq8_ihNpi5SQbCVxm-kIiRfNunrKA=s88-c-k-c0x00ffffff-no-rj")</f>
        <v>https://yt3.ggpht.com/ytc/AGIKgqM1_RnOXHBwriq8_ihNpi5SQbCVxm-kIiRfNunrKA=s88-c-k-c0x00ffffff-no-rj</v>
      </c>
      <c r="G378" s="62"/>
      <c r="H378" s="66" t="s">
        <v>1418</v>
      </c>
      <c r="I378" s="67"/>
      <c r="J378" s="67" t="s">
        <v>159</v>
      </c>
      <c r="K378" s="66" t="s">
        <v>1418</v>
      </c>
      <c r="L378" s="70"/>
      <c r="M378" s="71">
        <v>1856.76708984375</v>
      </c>
      <c r="N378" s="71">
        <v>7516.1025390625</v>
      </c>
      <c r="O378" s="72"/>
      <c r="P378" s="73"/>
      <c r="Q378" s="73"/>
      <c r="R378" s="94"/>
      <c r="S378" s="45">
        <v>0</v>
      </c>
      <c r="T378" s="45">
        <v>1</v>
      </c>
      <c r="U378" s="46">
        <v>0</v>
      </c>
      <c r="V378" s="46">
        <v>0.122455</v>
      </c>
      <c r="W378" s="46">
        <v>0.068916</v>
      </c>
      <c r="X378" s="46">
        <v>0.002053</v>
      </c>
      <c r="Y378" s="46">
        <v>0</v>
      </c>
      <c r="Z378" s="46">
        <v>0</v>
      </c>
      <c r="AA378" s="68">
        <v>378</v>
      </c>
      <c r="AB378" s="68"/>
      <c r="AC378" s="69"/>
      <c r="AD378" s="83" t="s">
        <v>1418</v>
      </c>
      <c r="AE378" s="83"/>
      <c r="AF378" s="83"/>
      <c r="AG378" s="83"/>
      <c r="AH378" s="83"/>
      <c r="AI378" s="83" t="s">
        <v>2456</v>
      </c>
      <c r="AJ378" s="83" t="s">
        <v>2717</v>
      </c>
      <c r="AK378" s="89" t="str">
        <f>HYPERLINK("https://yt3.ggpht.com/ytc/AGIKgqM1_RnOXHBwriq8_ihNpi5SQbCVxm-kIiRfNunrKA=s88-c-k-c0x00ffffff-no-rj")</f>
        <v>https://yt3.ggpht.com/ytc/AGIKgqM1_RnOXHBwriq8_ihNpi5SQbCVxm-kIiRfNunrKA=s88-c-k-c0x00ffffff-no-rj</v>
      </c>
      <c r="AL378" s="83">
        <v>0</v>
      </c>
      <c r="AM378" s="83">
        <v>0</v>
      </c>
      <c r="AN378" s="83">
        <v>0</v>
      </c>
      <c r="AO378" s="83" t="b">
        <v>0</v>
      </c>
      <c r="AP378" s="83">
        <v>0</v>
      </c>
      <c r="AQ378" s="83"/>
      <c r="AR378" s="83"/>
      <c r="AS378" s="83" t="s">
        <v>2744</v>
      </c>
      <c r="AT378" s="89" t="str">
        <f>HYPERLINK("https://www.youtube.com/channel/UCbTDHkOBtx1PmkcpQb8O3tw")</f>
        <v>https://www.youtube.com/channel/UCbTDHkOBtx1PmkcpQb8O3tw</v>
      </c>
      <c r="AU378" s="83" t="str">
        <f>REPLACE(INDEX(GroupVertices[Group],MATCH(Vertices[[#This Row],[Vertex]],GroupVertices[Vertex],0)),1,1,"")</f>
        <v>1</v>
      </c>
      <c r="AV378" s="45"/>
      <c r="AW378" s="46"/>
      <c r="AX378" s="45"/>
      <c r="AY378" s="46"/>
      <c r="AZ378" s="45"/>
      <c r="BA378" s="46"/>
      <c r="BB378" s="45"/>
      <c r="BC378" s="46"/>
      <c r="BD378" s="45"/>
      <c r="BE378" s="110" t="s">
        <v>1874</v>
      </c>
      <c r="BF378" s="110" t="s">
        <v>1874</v>
      </c>
      <c r="BG378" s="110" t="s">
        <v>1874</v>
      </c>
      <c r="BH378" s="110" t="s">
        <v>1874</v>
      </c>
      <c r="BI378" s="2"/>
    </row>
    <row r="379" spans="1:61" ht="15">
      <c r="A379" s="61" t="s">
        <v>581</v>
      </c>
      <c r="B379" s="62" t="s">
        <v>2893</v>
      </c>
      <c r="C379" s="62"/>
      <c r="D379" s="63">
        <v>100</v>
      </c>
      <c r="E379" s="65">
        <v>50</v>
      </c>
      <c r="F379" s="100" t="str">
        <f>HYPERLINK("https://yt3.ggpht.com/ytc/AGIKgqOyMu72NaEH0zR-0m_036D8WZ712ErfltekiFOmlA=s88-c-k-c0x00ffffff-no-rj")</f>
        <v>https://yt3.ggpht.com/ytc/AGIKgqOyMu72NaEH0zR-0m_036D8WZ712ErfltekiFOmlA=s88-c-k-c0x00ffffff-no-rj</v>
      </c>
      <c r="G379" s="62"/>
      <c r="H379" s="66" t="s">
        <v>1419</v>
      </c>
      <c r="I379" s="67"/>
      <c r="J379" s="67" t="s">
        <v>159</v>
      </c>
      <c r="K379" s="66" t="s">
        <v>1419</v>
      </c>
      <c r="L379" s="70"/>
      <c r="M379" s="71">
        <v>1543.3487548828125</v>
      </c>
      <c r="N379" s="71">
        <v>7516.1025390625</v>
      </c>
      <c r="O379" s="72"/>
      <c r="P379" s="73"/>
      <c r="Q379" s="73"/>
      <c r="R379" s="94"/>
      <c r="S379" s="45">
        <v>0</v>
      </c>
      <c r="T379" s="45">
        <v>1</v>
      </c>
      <c r="U379" s="46">
        <v>0</v>
      </c>
      <c r="V379" s="46">
        <v>0.122455</v>
      </c>
      <c r="W379" s="46">
        <v>0.068916</v>
      </c>
      <c r="X379" s="46">
        <v>0.002053</v>
      </c>
      <c r="Y379" s="46">
        <v>0</v>
      </c>
      <c r="Z379" s="46">
        <v>0</v>
      </c>
      <c r="AA379" s="68">
        <v>379</v>
      </c>
      <c r="AB379" s="68"/>
      <c r="AC379" s="69"/>
      <c r="AD379" s="83" t="s">
        <v>1419</v>
      </c>
      <c r="AE379" s="83" t="s">
        <v>2052</v>
      </c>
      <c r="AF379" s="83"/>
      <c r="AG379" s="83"/>
      <c r="AH379" s="83"/>
      <c r="AI379" s="83" t="s">
        <v>2457</v>
      </c>
      <c r="AJ379" s="83" t="s">
        <v>2718</v>
      </c>
      <c r="AK379" s="89" t="str">
        <f>HYPERLINK("https://yt3.ggpht.com/ytc/AGIKgqOyMu72NaEH0zR-0m_036D8WZ712ErfltekiFOmlA=s88-c-k-c0x00ffffff-no-rj")</f>
        <v>https://yt3.ggpht.com/ytc/AGIKgqOyMu72NaEH0zR-0m_036D8WZ712ErfltekiFOmlA=s88-c-k-c0x00ffffff-no-rj</v>
      </c>
      <c r="AL379" s="83">
        <v>2366</v>
      </c>
      <c r="AM379" s="83">
        <v>0</v>
      </c>
      <c r="AN379" s="83">
        <v>63</v>
      </c>
      <c r="AO379" s="83" t="b">
        <v>0</v>
      </c>
      <c r="AP379" s="83">
        <v>4</v>
      </c>
      <c r="AQ379" s="83"/>
      <c r="AR379" s="83"/>
      <c r="AS379" s="83" t="s">
        <v>2744</v>
      </c>
      <c r="AT379" s="89" t="str">
        <f>HYPERLINK("https://www.youtube.com/channel/UCYaR7bDWxyOOoreuWYM4-9A")</f>
        <v>https://www.youtube.com/channel/UCYaR7bDWxyOOoreuWYM4-9A</v>
      </c>
      <c r="AU379" s="83" t="str">
        <f>REPLACE(INDEX(GroupVertices[Group],MATCH(Vertices[[#This Row],[Vertex]],GroupVertices[Vertex],0)),1,1,"")</f>
        <v>1</v>
      </c>
      <c r="AV379" s="45"/>
      <c r="AW379" s="46"/>
      <c r="AX379" s="45"/>
      <c r="AY379" s="46"/>
      <c r="AZ379" s="45"/>
      <c r="BA379" s="46"/>
      <c r="BB379" s="45"/>
      <c r="BC379" s="46"/>
      <c r="BD379" s="45"/>
      <c r="BE379" s="110" t="s">
        <v>1874</v>
      </c>
      <c r="BF379" s="110" t="s">
        <v>1874</v>
      </c>
      <c r="BG379" s="110" t="s">
        <v>1874</v>
      </c>
      <c r="BH379" s="110" t="s">
        <v>1874</v>
      </c>
      <c r="BI379" s="2"/>
    </row>
    <row r="380" spans="1:61" ht="15">
      <c r="A380" s="61" t="s">
        <v>582</v>
      </c>
      <c r="B380" s="62" t="s">
        <v>2893</v>
      </c>
      <c r="C380" s="62"/>
      <c r="D380" s="63">
        <v>100</v>
      </c>
      <c r="E380" s="65">
        <v>50</v>
      </c>
      <c r="F380" s="100" t="str">
        <f>HYPERLINK("https://yt3.ggpht.com/ytc/AGIKgqPs0faUq65bDp19kCtYEq5FFzLkAEhS6nxFMJJyOg=s88-c-k-c0x00ffffff-no-rj")</f>
        <v>https://yt3.ggpht.com/ytc/AGIKgqPs0faUq65bDp19kCtYEq5FFzLkAEhS6nxFMJJyOg=s88-c-k-c0x00ffffff-no-rj</v>
      </c>
      <c r="G380" s="62"/>
      <c r="H380" s="66" t="s">
        <v>1420</v>
      </c>
      <c r="I380" s="67"/>
      <c r="J380" s="67" t="s">
        <v>159</v>
      </c>
      <c r="K380" s="66" t="s">
        <v>1420</v>
      </c>
      <c r="L380" s="70"/>
      <c r="M380" s="71">
        <v>1229.93017578125</v>
      </c>
      <c r="N380" s="71">
        <v>7516.1025390625</v>
      </c>
      <c r="O380" s="72"/>
      <c r="P380" s="73"/>
      <c r="Q380" s="73"/>
      <c r="R380" s="94"/>
      <c r="S380" s="45">
        <v>0</v>
      </c>
      <c r="T380" s="45">
        <v>1</v>
      </c>
      <c r="U380" s="46">
        <v>0</v>
      </c>
      <c r="V380" s="46">
        <v>0.122455</v>
      </c>
      <c r="W380" s="46">
        <v>0.068916</v>
      </c>
      <c r="X380" s="46">
        <v>0.002053</v>
      </c>
      <c r="Y380" s="46">
        <v>0</v>
      </c>
      <c r="Z380" s="46">
        <v>0</v>
      </c>
      <c r="AA380" s="68">
        <v>380</v>
      </c>
      <c r="AB380" s="68"/>
      <c r="AC380" s="69"/>
      <c r="AD380" s="83" t="s">
        <v>1420</v>
      </c>
      <c r="AE380" s="83" t="s">
        <v>2053</v>
      </c>
      <c r="AF380" s="83"/>
      <c r="AG380" s="83"/>
      <c r="AH380" s="83"/>
      <c r="AI380" s="83" t="s">
        <v>2458</v>
      </c>
      <c r="AJ380" s="92">
        <v>43135.66740740741</v>
      </c>
      <c r="AK380" s="89" t="str">
        <f>HYPERLINK("https://yt3.ggpht.com/ytc/AGIKgqPs0faUq65bDp19kCtYEq5FFzLkAEhS6nxFMJJyOg=s88-c-k-c0x00ffffff-no-rj")</f>
        <v>https://yt3.ggpht.com/ytc/AGIKgqPs0faUq65bDp19kCtYEq5FFzLkAEhS6nxFMJJyOg=s88-c-k-c0x00ffffff-no-rj</v>
      </c>
      <c r="AL380" s="83">
        <v>136</v>
      </c>
      <c r="AM380" s="83">
        <v>0</v>
      </c>
      <c r="AN380" s="83">
        <v>6</v>
      </c>
      <c r="AO380" s="83" t="b">
        <v>0</v>
      </c>
      <c r="AP380" s="83">
        <v>5</v>
      </c>
      <c r="AQ380" s="83"/>
      <c r="AR380" s="83"/>
      <c r="AS380" s="83" t="s">
        <v>2744</v>
      </c>
      <c r="AT380" s="89" t="str">
        <f>HYPERLINK("https://www.youtube.com/channel/UCbDBOplQgmAQC-2Z6eOdrfA")</f>
        <v>https://www.youtube.com/channel/UCbDBOplQgmAQC-2Z6eOdrfA</v>
      </c>
      <c r="AU380" s="83" t="str">
        <f>REPLACE(INDEX(GroupVertices[Group],MATCH(Vertices[[#This Row],[Vertex]],GroupVertices[Vertex],0)),1,1,"")</f>
        <v>1</v>
      </c>
      <c r="AV380" s="45"/>
      <c r="AW380" s="46"/>
      <c r="AX380" s="45"/>
      <c r="AY380" s="46"/>
      <c r="AZ380" s="45"/>
      <c r="BA380" s="46"/>
      <c r="BB380" s="45"/>
      <c r="BC380" s="46"/>
      <c r="BD380" s="45"/>
      <c r="BE380" s="110" t="s">
        <v>1874</v>
      </c>
      <c r="BF380" s="110" t="s">
        <v>1874</v>
      </c>
      <c r="BG380" s="110" t="s">
        <v>1874</v>
      </c>
      <c r="BH380" s="110" t="s">
        <v>1874</v>
      </c>
      <c r="BI380" s="2"/>
    </row>
    <row r="381" spans="1:61" ht="15">
      <c r="A381" s="61" t="s">
        <v>583</v>
      </c>
      <c r="B381" s="62" t="s">
        <v>2893</v>
      </c>
      <c r="C381" s="62"/>
      <c r="D381" s="63">
        <v>100</v>
      </c>
      <c r="E381" s="65">
        <v>50</v>
      </c>
      <c r="F381" s="100" t="str">
        <f>HYPERLINK("https://yt3.ggpht.com/ytc/AGIKgqN7FzGveG2bO77l_xlxb5JjDmH9cp1EnNY05g=s88-c-k-c0x00ffffff-no-rj")</f>
        <v>https://yt3.ggpht.com/ytc/AGIKgqN7FzGveG2bO77l_xlxb5JjDmH9cp1EnNY05g=s88-c-k-c0x00ffffff-no-rj</v>
      </c>
      <c r="G381" s="62"/>
      <c r="H381" s="66" t="s">
        <v>1421</v>
      </c>
      <c r="I381" s="67"/>
      <c r="J381" s="67" t="s">
        <v>159</v>
      </c>
      <c r="K381" s="66" t="s">
        <v>1421</v>
      </c>
      <c r="L381" s="70"/>
      <c r="M381" s="71">
        <v>916.51171875</v>
      </c>
      <c r="N381" s="71">
        <v>7516.1025390625</v>
      </c>
      <c r="O381" s="72"/>
      <c r="P381" s="73"/>
      <c r="Q381" s="73"/>
      <c r="R381" s="94"/>
      <c r="S381" s="45">
        <v>0</v>
      </c>
      <c r="T381" s="45">
        <v>1</v>
      </c>
      <c r="U381" s="46">
        <v>0</v>
      </c>
      <c r="V381" s="46">
        <v>0.122455</v>
      </c>
      <c r="W381" s="46">
        <v>0.068916</v>
      </c>
      <c r="X381" s="46">
        <v>0.002053</v>
      </c>
      <c r="Y381" s="46">
        <v>0</v>
      </c>
      <c r="Z381" s="46">
        <v>0</v>
      </c>
      <c r="AA381" s="68">
        <v>381</v>
      </c>
      <c r="AB381" s="68"/>
      <c r="AC381" s="69"/>
      <c r="AD381" s="83" t="s">
        <v>1421</v>
      </c>
      <c r="AE381" s="83"/>
      <c r="AF381" s="83"/>
      <c r="AG381" s="83"/>
      <c r="AH381" s="83"/>
      <c r="AI381" s="83" t="s">
        <v>2459</v>
      </c>
      <c r="AJ381" s="83" t="s">
        <v>2719</v>
      </c>
      <c r="AK381" s="89" t="str">
        <f>HYPERLINK("https://yt3.ggpht.com/ytc/AGIKgqN7FzGveG2bO77l_xlxb5JjDmH9cp1EnNY05g=s88-c-k-c0x00ffffff-no-rj")</f>
        <v>https://yt3.ggpht.com/ytc/AGIKgqN7FzGveG2bO77l_xlxb5JjDmH9cp1EnNY05g=s88-c-k-c0x00ffffff-no-rj</v>
      </c>
      <c r="AL381" s="83">
        <v>0</v>
      </c>
      <c r="AM381" s="83">
        <v>0</v>
      </c>
      <c r="AN381" s="83">
        <v>3</v>
      </c>
      <c r="AO381" s="83" t="b">
        <v>0</v>
      </c>
      <c r="AP381" s="83">
        <v>0</v>
      </c>
      <c r="AQ381" s="83"/>
      <c r="AR381" s="83"/>
      <c r="AS381" s="83" t="s">
        <v>2744</v>
      </c>
      <c r="AT381" s="89" t="str">
        <f>HYPERLINK("https://www.youtube.com/channel/UCfPh2ZMPVtZlEKJElPIlZFg")</f>
        <v>https://www.youtube.com/channel/UCfPh2ZMPVtZlEKJElPIlZFg</v>
      </c>
      <c r="AU381" s="83" t="str">
        <f>REPLACE(INDEX(GroupVertices[Group],MATCH(Vertices[[#This Row],[Vertex]],GroupVertices[Vertex],0)),1,1,"")</f>
        <v>1</v>
      </c>
      <c r="AV381" s="45"/>
      <c r="AW381" s="46"/>
      <c r="AX381" s="45"/>
      <c r="AY381" s="46"/>
      <c r="AZ381" s="45"/>
      <c r="BA381" s="46"/>
      <c r="BB381" s="45"/>
      <c r="BC381" s="46"/>
      <c r="BD381" s="45"/>
      <c r="BE381" s="110" t="s">
        <v>1874</v>
      </c>
      <c r="BF381" s="110" t="s">
        <v>1874</v>
      </c>
      <c r="BG381" s="110" t="s">
        <v>1874</v>
      </c>
      <c r="BH381" s="110" t="s">
        <v>1874</v>
      </c>
      <c r="BI381" s="2"/>
    </row>
    <row r="382" spans="1:61" ht="15">
      <c r="A382" s="61" t="s">
        <v>584</v>
      </c>
      <c r="B382" s="62" t="s">
        <v>2893</v>
      </c>
      <c r="C382" s="62"/>
      <c r="D382" s="63">
        <v>100</v>
      </c>
      <c r="E382" s="65">
        <v>50</v>
      </c>
      <c r="F382" s="100" t="str">
        <f>HYPERLINK("https://yt3.ggpht.com/99-0kl6cf9mM4AtEIYYYmhb1UgwNZVncURIxOO--cVa8vBZKRzAwzivrvcAia_9Unun49_dlvg=s88-c-k-c0x00ffffff-no-rj")</f>
        <v>https://yt3.ggpht.com/99-0kl6cf9mM4AtEIYYYmhb1UgwNZVncURIxOO--cVa8vBZKRzAwzivrvcAia_9Unun49_dlvg=s88-c-k-c0x00ffffff-no-rj</v>
      </c>
      <c r="G382" s="62"/>
      <c r="H382" s="66" t="s">
        <v>1422</v>
      </c>
      <c r="I382" s="67"/>
      <c r="J382" s="67" t="s">
        <v>159</v>
      </c>
      <c r="K382" s="66" t="s">
        <v>1422</v>
      </c>
      <c r="L382" s="70"/>
      <c r="M382" s="71">
        <v>603.0931396484375</v>
      </c>
      <c r="N382" s="71">
        <v>7516.1025390625</v>
      </c>
      <c r="O382" s="72"/>
      <c r="P382" s="73"/>
      <c r="Q382" s="73"/>
      <c r="R382" s="94"/>
      <c r="S382" s="45">
        <v>0</v>
      </c>
      <c r="T382" s="45">
        <v>1</v>
      </c>
      <c r="U382" s="46">
        <v>0</v>
      </c>
      <c r="V382" s="46">
        <v>0.122455</v>
      </c>
      <c r="W382" s="46">
        <v>0.068916</v>
      </c>
      <c r="X382" s="46">
        <v>0.002053</v>
      </c>
      <c r="Y382" s="46">
        <v>0</v>
      </c>
      <c r="Z382" s="46">
        <v>0</v>
      </c>
      <c r="AA382" s="68">
        <v>382</v>
      </c>
      <c r="AB382" s="68"/>
      <c r="AC382" s="69"/>
      <c r="AD382" s="83" t="s">
        <v>1422</v>
      </c>
      <c r="AE382" s="83" t="s">
        <v>2054</v>
      </c>
      <c r="AF382" s="83"/>
      <c r="AG382" s="83"/>
      <c r="AH382" s="83"/>
      <c r="AI382" s="83" t="s">
        <v>2460</v>
      </c>
      <c r="AJ382" s="92">
        <v>39237.414131944446</v>
      </c>
      <c r="AK382" s="89" t="str">
        <f>HYPERLINK("https://yt3.ggpht.com/99-0kl6cf9mM4AtEIYYYmhb1UgwNZVncURIxOO--cVa8vBZKRzAwzivrvcAia_9Unun49_dlvg=s88-c-k-c0x00ffffff-no-rj")</f>
        <v>https://yt3.ggpht.com/99-0kl6cf9mM4AtEIYYYmhb1UgwNZVncURIxOO--cVa8vBZKRzAwzivrvcAia_9Unun49_dlvg=s88-c-k-c0x00ffffff-no-rj</v>
      </c>
      <c r="AL382" s="83">
        <v>6</v>
      </c>
      <c r="AM382" s="83">
        <v>0</v>
      </c>
      <c r="AN382" s="83">
        <v>10</v>
      </c>
      <c r="AO382" s="83" t="b">
        <v>0</v>
      </c>
      <c r="AP382" s="83">
        <v>1</v>
      </c>
      <c r="AQ382" s="83"/>
      <c r="AR382" s="83"/>
      <c r="AS382" s="83" t="s">
        <v>2744</v>
      </c>
      <c r="AT382" s="89" t="str">
        <f>HYPERLINK("https://www.youtube.com/channel/UCq_dTkkYV5ZCF1NvGSxv7Ug")</f>
        <v>https://www.youtube.com/channel/UCq_dTkkYV5ZCF1NvGSxv7Ug</v>
      </c>
      <c r="AU382" s="83" t="str">
        <f>REPLACE(INDEX(GroupVertices[Group],MATCH(Vertices[[#This Row],[Vertex]],GroupVertices[Vertex],0)),1,1,"")</f>
        <v>1</v>
      </c>
      <c r="AV382" s="45"/>
      <c r="AW382" s="46"/>
      <c r="AX382" s="45"/>
      <c r="AY382" s="46"/>
      <c r="AZ382" s="45"/>
      <c r="BA382" s="46"/>
      <c r="BB382" s="45"/>
      <c r="BC382" s="46"/>
      <c r="BD382" s="45"/>
      <c r="BE382" s="110" t="s">
        <v>1874</v>
      </c>
      <c r="BF382" s="110" t="s">
        <v>1874</v>
      </c>
      <c r="BG382" s="110" t="s">
        <v>1874</v>
      </c>
      <c r="BH382" s="110" t="s">
        <v>1874</v>
      </c>
      <c r="BI382" s="2"/>
    </row>
    <row r="383" spans="1:61" ht="15">
      <c r="A383" s="61" t="s">
        <v>585</v>
      </c>
      <c r="B383" s="62" t="s">
        <v>2893</v>
      </c>
      <c r="C383" s="62"/>
      <c r="D383" s="63">
        <v>100</v>
      </c>
      <c r="E383" s="65">
        <v>50</v>
      </c>
      <c r="F383" s="100" t="str">
        <f>HYPERLINK("https://yt3.ggpht.com/ytc/AGIKgqNiL0a6SYX6dxa1vi7sWVr5psrNg_4HKgke_40F0Q=s88-c-k-c0x00ffffff-no-rj")</f>
        <v>https://yt3.ggpht.com/ytc/AGIKgqNiL0a6SYX6dxa1vi7sWVr5psrNg_4HKgke_40F0Q=s88-c-k-c0x00ffffff-no-rj</v>
      </c>
      <c r="G383" s="62"/>
      <c r="H383" s="66" t="s">
        <v>1423</v>
      </c>
      <c r="I383" s="67"/>
      <c r="J383" s="67" t="s">
        <v>159</v>
      </c>
      <c r="K383" s="66" t="s">
        <v>1423</v>
      </c>
      <c r="L383" s="70"/>
      <c r="M383" s="71">
        <v>289.6746826171875</v>
      </c>
      <c r="N383" s="71">
        <v>7516.1025390625</v>
      </c>
      <c r="O383" s="72"/>
      <c r="P383" s="73"/>
      <c r="Q383" s="73"/>
      <c r="R383" s="94"/>
      <c r="S383" s="45">
        <v>0</v>
      </c>
      <c r="T383" s="45">
        <v>1</v>
      </c>
      <c r="U383" s="46">
        <v>0</v>
      </c>
      <c r="V383" s="46">
        <v>0.122455</v>
      </c>
      <c r="W383" s="46">
        <v>0.068916</v>
      </c>
      <c r="X383" s="46">
        <v>0.002053</v>
      </c>
      <c r="Y383" s="46">
        <v>0</v>
      </c>
      <c r="Z383" s="46">
        <v>0</v>
      </c>
      <c r="AA383" s="68">
        <v>383</v>
      </c>
      <c r="AB383" s="68"/>
      <c r="AC383" s="69"/>
      <c r="AD383" s="83" t="s">
        <v>1423</v>
      </c>
      <c r="AE383" s="83"/>
      <c r="AF383" s="83"/>
      <c r="AG383" s="83"/>
      <c r="AH383" s="83"/>
      <c r="AI383" s="83" t="s">
        <v>2461</v>
      </c>
      <c r="AJ383" s="92">
        <v>42644.8471875</v>
      </c>
      <c r="AK383" s="89" t="str">
        <f>HYPERLINK("https://yt3.ggpht.com/ytc/AGIKgqNiL0a6SYX6dxa1vi7sWVr5psrNg_4HKgke_40F0Q=s88-c-k-c0x00ffffff-no-rj")</f>
        <v>https://yt3.ggpht.com/ytc/AGIKgqNiL0a6SYX6dxa1vi7sWVr5psrNg_4HKgke_40F0Q=s88-c-k-c0x00ffffff-no-rj</v>
      </c>
      <c r="AL383" s="83">
        <v>0</v>
      </c>
      <c r="AM383" s="83">
        <v>0</v>
      </c>
      <c r="AN383" s="83">
        <v>1</v>
      </c>
      <c r="AO383" s="83" t="b">
        <v>0</v>
      </c>
      <c r="AP383" s="83">
        <v>0</v>
      </c>
      <c r="AQ383" s="83"/>
      <c r="AR383" s="83"/>
      <c r="AS383" s="83" t="s">
        <v>2744</v>
      </c>
      <c r="AT383" s="89" t="str">
        <f>HYPERLINK("https://www.youtube.com/channel/UCsK4qZrhgoeETuYUZXfx1rQ")</f>
        <v>https://www.youtube.com/channel/UCsK4qZrhgoeETuYUZXfx1rQ</v>
      </c>
      <c r="AU383" s="83" t="str">
        <f>REPLACE(INDEX(GroupVertices[Group],MATCH(Vertices[[#This Row],[Vertex]],GroupVertices[Vertex],0)),1,1,"")</f>
        <v>1</v>
      </c>
      <c r="AV383" s="45"/>
      <c r="AW383" s="46"/>
      <c r="AX383" s="45"/>
      <c r="AY383" s="46"/>
      <c r="AZ383" s="45"/>
      <c r="BA383" s="46"/>
      <c r="BB383" s="45"/>
      <c r="BC383" s="46"/>
      <c r="BD383" s="45"/>
      <c r="BE383" s="110" t="s">
        <v>1874</v>
      </c>
      <c r="BF383" s="110" t="s">
        <v>1874</v>
      </c>
      <c r="BG383" s="110" t="s">
        <v>1874</v>
      </c>
      <c r="BH383" s="110" t="s">
        <v>1874</v>
      </c>
      <c r="BI383" s="2"/>
    </row>
    <row r="384" spans="1:61" ht="15">
      <c r="A384" s="61" t="s">
        <v>586</v>
      </c>
      <c r="B384" s="62" t="s">
        <v>2893</v>
      </c>
      <c r="C384" s="62"/>
      <c r="D384" s="63">
        <v>100</v>
      </c>
      <c r="E384" s="65">
        <v>50</v>
      </c>
      <c r="F384" s="100" t="str">
        <f>HYPERLINK("https://yt3.ggpht.com/OYslThcnAFmKPo5ih-7ElgNTl40j6SSJs77vql-1RbfZOHXNFEVjUwtcuajqftOswbyfkzAiOA=s88-c-k-c0x00ffffff-no-rj")</f>
        <v>https://yt3.ggpht.com/OYslThcnAFmKPo5ih-7ElgNTl40j6SSJs77vql-1RbfZOHXNFEVjUwtcuajqftOswbyfkzAiOA=s88-c-k-c0x00ffffff-no-rj</v>
      </c>
      <c r="G384" s="62"/>
      <c r="H384" s="66" t="s">
        <v>1424</v>
      </c>
      <c r="I384" s="67"/>
      <c r="J384" s="67" t="s">
        <v>159</v>
      </c>
      <c r="K384" s="66" t="s">
        <v>1424</v>
      </c>
      <c r="L384" s="70"/>
      <c r="M384" s="71">
        <v>2170.185791015625</v>
      </c>
      <c r="N384" s="71">
        <v>8145.2529296875</v>
      </c>
      <c r="O384" s="72"/>
      <c r="P384" s="73"/>
      <c r="Q384" s="73"/>
      <c r="R384" s="94"/>
      <c r="S384" s="45">
        <v>0</v>
      </c>
      <c r="T384" s="45">
        <v>1</v>
      </c>
      <c r="U384" s="46">
        <v>0</v>
      </c>
      <c r="V384" s="46">
        <v>0.122455</v>
      </c>
      <c r="W384" s="46">
        <v>0.068916</v>
      </c>
      <c r="X384" s="46">
        <v>0.002053</v>
      </c>
      <c r="Y384" s="46">
        <v>0</v>
      </c>
      <c r="Z384" s="46">
        <v>0</v>
      </c>
      <c r="AA384" s="68">
        <v>384</v>
      </c>
      <c r="AB384" s="68"/>
      <c r="AC384" s="69"/>
      <c r="AD384" s="83" t="s">
        <v>1424</v>
      </c>
      <c r="AE384" s="83" t="s">
        <v>2055</v>
      </c>
      <c r="AF384" s="83"/>
      <c r="AG384" s="83"/>
      <c r="AH384" s="83"/>
      <c r="AI384" s="83" t="s">
        <v>2462</v>
      </c>
      <c r="AJ384" s="92">
        <v>42953.99637731481</v>
      </c>
      <c r="AK384" s="89" t="str">
        <f>HYPERLINK("https://yt3.ggpht.com/OYslThcnAFmKPo5ih-7ElgNTl40j6SSJs77vql-1RbfZOHXNFEVjUwtcuajqftOswbyfkzAiOA=s88-c-k-c0x00ffffff-no-rj")</f>
        <v>https://yt3.ggpht.com/OYslThcnAFmKPo5ih-7ElgNTl40j6SSJs77vql-1RbfZOHXNFEVjUwtcuajqftOswbyfkzAiOA=s88-c-k-c0x00ffffff-no-rj</v>
      </c>
      <c r="AL384" s="83">
        <v>4340281</v>
      </c>
      <c r="AM384" s="83">
        <v>0</v>
      </c>
      <c r="AN384" s="83">
        <v>6460</v>
      </c>
      <c r="AO384" s="83" t="b">
        <v>0</v>
      </c>
      <c r="AP384" s="83">
        <v>530</v>
      </c>
      <c r="AQ384" s="83"/>
      <c r="AR384" s="83"/>
      <c r="AS384" s="83" t="s">
        <v>2744</v>
      </c>
      <c r="AT384" s="89" t="str">
        <f>HYPERLINK("https://www.youtube.com/channel/UCLD0mWkI9RhtXLMIXPeJKNw")</f>
        <v>https://www.youtube.com/channel/UCLD0mWkI9RhtXLMIXPeJKNw</v>
      </c>
      <c r="AU384" s="83" t="str">
        <f>REPLACE(INDEX(GroupVertices[Group],MATCH(Vertices[[#This Row],[Vertex]],GroupVertices[Vertex],0)),1,1,"")</f>
        <v>1</v>
      </c>
      <c r="AV384" s="45"/>
      <c r="AW384" s="46"/>
      <c r="AX384" s="45"/>
      <c r="AY384" s="46"/>
      <c r="AZ384" s="45"/>
      <c r="BA384" s="46"/>
      <c r="BB384" s="45"/>
      <c r="BC384" s="46"/>
      <c r="BD384" s="45"/>
      <c r="BE384" s="110" t="s">
        <v>1874</v>
      </c>
      <c r="BF384" s="110" t="s">
        <v>1874</v>
      </c>
      <c r="BG384" s="110" t="s">
        <v>1874</v>
      </c>
      <c r="BH384" s="110" t="s">
        <v>1874</v>
      </c>
      <c r="BI384" s="2"/>
    </row>
    <row r="385" spans="1:61" ht="15">
      <c r="A385" s="61" t="s">
        <v>587</v>
      </c>
      <c r="B385" s="62" t="s">
        <v>2893</v>
      </c>
      <c r="C385" s="62"/>
      <c r="D385" s="63">
        <v>100</v>
      </c>
      <c r="E385" s="65">
        <v>50</v>
      </c>
      <c r="F385" s="100" t="str">
        <f>HYPERLINK("https://yt3.ggpht.com/ytc/AGIKgqOidMOgTf-EdF6LFSS3tPRGSWheRwC7EuXFoA=s88-c-k-c0x00ffffff-no-rj")</f>
        <v>https://yt3.ggpht.com/ytc/AGIKgqOidMOgTf-EdF6LFSS3tPRGSWheRwC7EuXFoA=s88-c-k-c0x00ffffff-no-rj</v>
      </c>
      <c r="G385" s="62"/>
      <c r="H385" s="66" t="s">
        <v>1425</v>
      </c>
      <c r="I385" s="67"/>
      <c r="J385" s="67" t="s">
        <v>159</v>
      </c>
      <c r="K385" s="66" t="s">
        <v>1425</v>
      </c>
      <c r="L385" s="70"/>
      <c r="M385" s="71">
        <v>1856.76708984375</v>
      </c>
      <c r="N385" s="71">
        <v>8145.2529296875</v>
      </c>
      <c r="O385" s="72"/>
      <c r="P385" s="73"/>
      <c r="Q385" s="73"/>
      <c r="R385" s="94"/>
      <c r="S385" s="45">
        <v>0</v>
      </c>
      <c r="T385" s="45">
        <v>1</v>
      </c>
      <c r="U385" s="46">
        <v>0</v>
      </c>
      <c r="V385" s="46">
        <v>0.122455</v>
      </c>
      <c r="W385" s="46">
        <v>0.068916</v>
      </c>
      <c r="X385" s="46">
        <v>0.002053</v>
      </c>
      <c r="Y385" s="46">
        <v>0</v>
      </c>
      <c r="Z385" s="46">
        <v>0</v>
      </c>
      <c r="AA385" s="68">
        <v>385</v>
      </c>
      <c r="AB385" s="68"/>
      <c r="AC385" s="69"/>
      <c r="AD385" s="83" t="s">
        <v>1425</v>
      </c>
      <c r="AE385" s="83"/>
      <c r="AF385" s="83"/>
      <c r="AG385" s="83"/>
      <c r="AH385" s="83"/>
      <c r="AI385" s="83" t="s">
        <v>2463</v>
      </c>
      <c r="AJ385" s="83" t="s">
        <v>2720</v>
      </c>
      <c r="AK385" s="89" t="str">
        <f>HYPERLINK("https://yt3.ggpht.com/ytc/AGIKgqOidMOgTf-EdF6LFSS3tPRGSWheRwC7EuXFoA=s88-c-k-c0x00ffffff-no-rj")</f>
        <v>https://yt3.ggpht.com/ytc/AGIKgqOidMOgTf-EdF6LFSS3tPRGSWheRwC7EuXFoA=s88-c-k-c0x00ffffff-no-rj</v>
      </c>
      <c r="AL385" s="83">
        <v>0</v>
      </c>
      <c r="AM385" s="83">
        <v>0</v>
      </c>
      <c r="AN385" s="83">
        <v>21</v>
      </c>
      <c r="AO385" s="83" t="b">
        <v>0</v>
      </c>
      <c r="AP385" s="83">
        <v>0</v>
      </c>
      <c r="AQ385" s="83"/>
      <c r="AR385" s="83"/>
      <c r="AS385" s="83" t="s">
        <v>2744</v>
      </c>
      <c r="AT385" s="89" t="str">
        <f>HYPERLINK("https://www.youtube.com/channel/UCU6Rar_MIux7KxB3fxMHksA")</f>
        <v>https://www.youtube.com/channel/UCU6Rar_MIux7KxB3fxMHksA</v>
      </c>
      <c r="AU385" s="83" t="str">
        <f>REPLACE(INDEX(GroupVertices[Group],MATCH(Vertices[[#This Row],[Vertex]],GroupVertices[Vertex],0)),1,1,"")</f>
        <v>1</v>
      </c>
      <c r="AV385" s="45"/>
      <c r="AW385" s="46"/>
      <c r="AX385" s="45"/>
      <c r="AY385" s="46"/>
      <c r="AZ385" s="45"/>
      <c r="BA385" s="46"/>
      <c r="BB385" s="45"/>
      <c r="BC385" s="46"/>
      <c r="BD385" s="45"/>
      <c r="BE385" s="110" t="s">
        <v>1874</v>
      </c>
      <c r="BF385" s="110" t="s">
        <v>1874</v>
      </c>
      <c r="BG385" s="110" t="s">
        <v>1874</v>
      </c>
      <c r="BH385" s="110" t="s">
        <v>1874</v>
      </c>
      <c r="BI385" s="2"/>
    </row>
    <row r="386" spans="1:61" ht="15">
      <c r="A386" s="61" t="s">
        <v>588</v>
      </c>
      <c r="B386" s="62" t="s">
        <v>2893</v>
      </c>
      <c r="C386" s="62"/>
      <c r="D386" s="63">
        <v>100</v>
      </c>
      <c r="E386" s="65">
        <v>50</v>
      </c>
      <c r="F386" s="100" t="str">
        <f>HYPERLINK("https://yt3.ggpht.com/ytc/AGIKgqOHUup7pPokvcM-MpkCEliBPsN4G4CZjy4mig=s88-c-k-c0x00ffffff-no-rj")</f>
        <v>https://yt3.ggpht.com/ytc/AGIKgqOHUup7pPokvcM-MpkCEliBPsN4G4CZjy4mig=s88-c-k-c0x00ffffff-no-rj</v>
      </c>
      <c r="G386" s="62"/>
      <c r="H386" s="66" t="s">
        <v>1426</v>
      </c>
      <c r="I386" s="67"/>
      <c r="J386" s="67" t="s">
        <v>159</v>
      </c>
      <c r="K386" s="66" t="s">
        <v>1426</v>
      </c>
      <c r="L386" s="70"/>
      <c r="M386" s="71">
        <v>1543.3487548828125</v>
      </c>
      <c r="N386" s="71">
        <v>8145.2529296875</v>
      </c>
      <c r="O386" s="72"/>
      <c r="P386" s="73"/>
      <c r="Q386" s="73"/>
      <c r="R386" s="94"/>
      <c r="S386" s="45">
        <v>0</v>
      </c>
      <c r="T386" s="45">
        <v>1</v>
      </c>
      <c r="U386" s="46">
        <v>0</v>
      </c>
      <c r="V386" s="46">
        <v>0.122455</v>
      </c>
      <c r="W386" s="46">
        <v>0.068916</v>
      </c>
      <c r="X386" s="46">
        <v>0.002053</v>
      </c>
      <c r="Y386" s="46">
        <v>0</v>
      </c>
      <c r="Z386" s="46">
        <v>0</v>
      </c>
      <c r="AA386" s="68">
        <v>386</v>
      </c>
      <c r="AB386" s="68"/>
      <c r="AC386" s="69"/>
      <c r="AD386" s="83" t="s">
        <v>1426</v>
      </c>
      <c r="AE386" s="83"/>
      <c r="AF386" s="83"/>
      <c r="AG386" s="83"/>
      <c r="AH386" s="83"/>
      <c r="AI386" s="83" t="s">
        <v>2464</v>
      </c>
      <c r="AJ386" s="83" t="s">
        <v>2721</v>
      </c>
      <c r="AK386" s="89" t="str">
        <f>HYPERLINK("https://yt3.ggpht.com/ytc/AGIKgqOHUup7pPokvcM-MpkCEliBPsN4G4CZjy4mig=s88-c-k-c0x00ffffff-no-rj")</f>
        <v>https://yt3.ggpht.com/ytc/AGIKgqOHUup7pPokvcM-MpkCEliBPsN4G4CZjy4mig=s88-c-k-c0x00ffffff-no-rj</v>
      </c>
      <c r="AL386" s="83">
        <v>0</v>
      </c>
      <c r="AM386" s="83">
        <v>0</v>
      </c>
      <c r="AN386" s="83">
        <v>0</v>
      </c>
      <c r="AO386" s="83" t="b">
        <v>0</v>
      </c>
      <c r="AP386" s="83">
        <v>0</v>
      </c>
      <c r="AQ386" s="83"/>
      <c r="AR386" s="83"/>
      <c r="AS386" s="83" t="s">
        <v>2744</v>
      </c>
      <c r="AT386" s="89" t="str">
        <f>HYPERLINK("https://www.youtube.com/channel/UCsYjmxuq-Waa1nWTn6YlbDg")</f>
        <v>https://www.youtube.com/channel/UCsYjmxuq-Waa1nWTn6YlbDg</v>
      </c>
      <c r="AU386" s="83" t="str">
        <f>REPLACE(INDEX(GroupVertices[Group],MATCH(Vertices[[#This Row],[Vertex]],GroupVertices[Vertex],0)),1,1,"")</f>
        <v>1</v>
      </c>
      <c r="AV386" s="45"/>
      <c r="AW386" s="46"/>
      <c r="AX386" s="45"/>
      <c r="AY386" s="46"/>
      <c r="AZ386" s="45"/>
      <c r="BA386" s="46"/>
      <c r="BB386" s="45"/>
      <c r="BC386" s="46"/>
      <c r="BD386" s="45"/>
      <c r="BE386" s="110" t="s">
        <v>1874</v>
      </c>
      <c r="BF386" s="110" t="s">
        <v>1874</v>
      </c>
      <c r="BG386" s="110" t="s">
        <v>1874</v>
      </c>
      <c r="BH386" s="110" t="s">
        <v>1874</v>
      </c>
      <c r="BI386" s="2"/>
    </row>
    <row r="387" spans="1:61" ht="15">
      <c r="A387" s="61" t="s">
        <v>589</v>
      </c>
      <c r="B387" s="62" t="s">
        <v>2893</v>
      </c>
      <c r="C387" s="62"/>
      <c r="D387" s="63">
        <v>100</v>
      </c>
      <c r="E387" s="65">
        <v>50</v>
      </c>
      <c r="F387" s="100" t="str">
        <f>HYPERLINK("https://yt3.ggpht.com/ytc/AGIKgqNltcGD5P0veKB2bGcQMm4EaYZMWX7hPdhiz9b7=s88-c-k-c0x00ffffff-no-rj")</f>
        <v>https://yt3.ggpht.com/ytc/AGIKgqNltcGD5P0veKB2bGcQMm4EaYZMWX7hPdhiz9b7=s88-c-k-c0x00ffffff-no-rj</v>
      </c>
      <c r="G387" s="62"/>
      <c r="H387" s="66" t="s">
        <v>1427</v>
      </c>
      <c r="I387" s="67"/>
      <c r="J387" s="67" t="s">
        <v>159</v>
      </c>
      <c r="K387" s="66" t="s">
        <v>1427</v>
      </c>
      <c r="L387" s="70"/>
      <c r="M387" s="71">
        <v>1229.93017578125</v>
      </c>
      <c r="N387" s="71">
        <v>8145.2529296875</v>
      </c>
      <c r="O387" s="72"/>
      <c r="P387" s="73"/>
      <c r="Q387" s="73"/>
      <c r="R387" s="94"/>
      <c r="S387" s="45">
        <v>0</v>
      </c>
      <c r="T387" s="45">
        <v>1</v>
      </c>
      <c r="U387" s="46">
        <v>0</v>
      </c>
      <c r="V387" s="46">
        <v>0.122455</v>
      </c>
      <c r="W387" s="46">
        <v>0.068916</v>
      </c>
      <c r="X387" s="46">
        <v>0.002053</v>
      </c>
      <c r="Y387" s="46">
        <v>0</v>
      </c>
      <c r="Z387" s="46">
        <v>0</v>
      </c>
      <c r="AA387" s="68">
        <v>387</v>
      </c>
      <c r="AB387" s="68"/>
      <c r="AC387" s="69"/>
      <c r="AD387" s="83" t="s">
        <v>1427</v>
      </c>
      <c r="AE387" s="83"/>
      <c r="AF387" s="83"/>
      <c r="AG387" s="83"/>
      <c r="AH387" s="83"/>
      <c r="AI387" s="83" t="s">
        <v>2465</v>
      </c>
      <c r="AJ387" s="92">
        <v>40370.85959490741</v>
      </c>
      <c r="AK387" s="89" t="str">
        <f>HYPERLINK("https://yt3.ggpht.com/ytc/AGIKgqNltcGD5P0veKB2bGcQMm4EaYZMWX7hPdhiz9b7=s88-c-k-c0x00ffffff-no-rj")</f>
        <v>https://yt3.ggpht.com/ytc/AGIKgqNltcGD5P0veKB2bGcQMm4EaYZMWX7hPdhiz9b7=s88-c-k-c0x00ffffff-no-rj</v>
      </c>
      <c r="AL387" s="83">
        <v>46676</v>
      </c>
      <c r="AM387" s="83">
        <v>0</v>
      </c>
      <c r="AN387" s="83">
        <v>269</v>
      </c>
      <c r="AO387" s="83" t="b">
        <v>0</v>
      </c>
      <c r="AP387" s="83">
        <v>84</v>
      </c>
      <c r="AQ387" s="83"/>
      <c r="AR387" s="83"/>
      <c r="AS387" s="83" t="s">
        <v>2744</v>
      </c>
      <c r="AT387" s="89" t="str">
        <f>HYPERLINK("https://www.youtube.com/channel/UCsaqbxuZY6gL-7SbYOjItmA")</f>
        <v>https://www.youtube.com/channel/UCsaqbxuZY6gL-7SbYOjItmA</v>
      </c>
      <c r="AU387" s="83" t="str">
        <f>REPLACE(INDEX(GroupVertices[Group],MATCH(Vertices[[#This Row],[Vertex]],GroupVertices[Vertex],0)),1,1,"")</f>
        <v>1</v>
      </c>
      <c r="AV387" s="45"/>
      <c r="AW387" s="46"/>
      <c r="AX387" s="45"/>
      <c r="AY387" s="46"/>
      <c r="AZ387" s="45"/>
      <c r="BA387" s="46"/>
      <c r="BB387" s="45"/>
      <c r="BC387" s="46"/>
      <c r="BD387" s="45"/>
      <c r="BE387" s="110" t="s">
        <v>1874</v>
      </c>
      <c r="BF387" s="110" t="s">
        <v>1874</v>
      </c>
      <c r="BG387" s="110" t="s">
        <v>1874</v>
      </c>
      <c r="BH387" s="110" t="s">
        <v>1874</v>
      </c>
      <c r="BI387" s="2"/>
    </row>
    <row r="388" spans="1:61" ht="15">
      <c r="A388" s="61" t="s">
        <v>590</v>
      </c>
      <c r="B388" s="62" t="s">
        <v>2893</v>
      </c>
      <c r="C388" s="62"/>
      <c r="D388" s="63">
        <v>100</v>
      </c>
      <c r="E388" s="65">
        <v>50</v>
      </c>
      <c r="F388" s="100" t="str">
        <f>HYPERLINK("https://yt3.ggpht.com/ytc/AGIKgqNoUUGEOuQEXALvS9Iyc0Wt4t7suM9qGlM0VA=s88-c-k-c0x00ffffff-no-rj")</f>
        <v>https://yt3.ggpht.com/ytc/AGIKgqNoUUGEOuQEXALvS9Iyc0Wt4t7suM9qGlM0VA=s88-c-k-c0x00ffffff-no-rj</v>
      </c>
      <c r="G388" s="62"/>
      <c r="H388" s="66" t="s">
        <v>1428</v>
      </c>
      <c r="I388" s="67"/>
      <c r="J388" s="67" t="s">
        <v>159</v>
      </c>
      <c r="K388" s="66" t="s">
        <v>1428</v>
      </c>
      <c r="L388" s="70"/>
      <c r="M388" s="71">
        <v>916.51171875</v>
      </c>
      <c r="N388" s="71">
        <v>8145.2529296875</v>
      </c>
      <c r="O388" s="72"/>
      <c r="P388" s="73"/>
      <c r="Q388" s="73"/>
      <c r="R388" s="94"/>
      <c r="S388" s="45">
        <v>0</v>
      </c>
      <c r="T388" s="45">
        <v>1</v>
      </c>
      <c r="U388" s="46">
        <v>0</v>
      </c>
      <c r="V388" s="46">
        <v>0.122455</v>
      </c>
      <c r="W388" s="46">
        <v>0.068916</v>
      </c>
      <c r="X388" s="46">
        <v>0.002053</v>
      </c>
      <c r="Y388" s="46">
        <v>0</v>
      </c>
      <c r="Z388" s="46">
        <v>0</v>
      </c>
      <c r="AA388" s="68">
        <v>388</v>
      </c>
      <c r="AB388" s="68"/>
      <c r="AC388" s="69"/>
      <c r="AD388" s="83" t="s">
        <v>1428</v>
      </c>
      <c r="AE388" s="83"/>
      <c r="AF388" s="83"/>
      <c r="AG388" s="83"/>
      <c r="AH388" s="83"/>
      <c r="AI388" s="83" t="s">
        <v>2466</v>
      </c>
      <c r="AJ388" s="92">
        <v>43410.89921296296</v>
      </c>
      <c r="AK388" s="89" t="str">
        <f>HYPERLINK("https://yt3.ggpht.com/ytc/AGIKgqNoUUGEOuQEXALvS9Iyc0Wt4t7suM9qGlM0VA=s88-c-k-c0x00ffffff-no-rj")</f>
        <v>https://yt3.ggpht.com/ytc/AGIKgqNoUUGEOuQEXALvS9Iyc0Wt4t7suM9qGlM0VA=s88-c-k-c0x00ffffff-no-rj</v>
      </c>
      <c r="AL388" s="83">
        <v>12</v>
      </c>
      <c r="AM388" s="83">
        <v>0</v>
      </c>
      <c r="AN388" s="83">
        <v>1</v>
      </c>
      <c r="AO388" s="83" t="b">
        <v>0</v>
      </c>
      <c r="AP388" s="83">
        <v>1</v>
      </c>
      <c r="AQ388" s="83"/>
      <c r="AR388" s="83"/>
      <c r="AS388" s="83" t="s">
        <v>2744</v>
      </c>
      <c r="AT388" s="89" t="str">
        <f>HYPERLINK("https://www.youtube.com/channel/UCGushJDi1Ckp7EXmbvNiy3A")</f>
        <v>https://www.youtube.com/channel/UCGushJDi1Ckp7EXmbvNiy3A</v>
      </c>
      <c r="AU388" s="83" t="str">
        <f>REPLACE(INDEX(GroupVertices[Group],MATCH(Vertices[[#This Row],[Vertex]],GroupVertices[Vertex],0)),1,1,"")</f>
        <v>1</v>
      </c>
      <c r="AV388" s="45"/>
      <c r="AW388" s="46"/>
      <c r="AX388" s="45"/>
      <c r="AY388" s="46"/>
      <c r="AZ388" s="45"/>
      <c r="BA388" s="46"/>
      <c r="BB388" s="45"/>
      <c r="BC388" s="46"/>
      <c r="BD388" s="45"/>
      <c r="BE388" s="110" t="s">
        <v>1874</v>
      </c>
      <c r="BF388" s="110" t="s">
        <v>1874</v>
      </c>
      <c r="BG388" s="110" t="s">
        <v>1874</v>
      </c>
      <c r="BH388" s="110" t="s">
        <v>1874</v>
      </c>
      <c r="BI388" s="2"/>
    </row>
    <row r="389" spans="1:61" ht="15">
      <c r="A389" s="61" t="s">
        <v>591</v>
      </c>
      <c r="B389" s="62" t="s">
        <v>2893</v>
      </c>
      <c r="C389" s="62"/>
      <c r="D389" s="63">
        <v>100</v>
      </c>
      <c r="E389" s="65">
        <v>50</v>
      </c>
      <c r="F389" s="100" t="str">
        <f>HYPERLINK("https://yt3.ggpht.com/ytc/AGIKgqMWkl7uK18Z9m-edVJWTy8hQbiuIJULKe5_h1Pp-Q=s88-c-k-c0x00ffffff-no-rj")</f>
        <v>https://yt3.ggpht.com/ytc/AGIKgqMWkl7uK18Z9m-edVJWTy8hQbiuIJULKe5_h1Pp-Q=s88-c-k-c0x00ffffff-no-rj</v>
      </c>
      <c r="G389" s="62"/>
      <c r="H389" s="66" t="s">
        <v>1429</v>
      </c>
      <c r="I389" s="67"/>
      <c r="J389" s="67" t="s">
        <v>159</v>
      </c>
      <c r="K389" s="66" t="s">
        <v>1429</v>
      </c>
      <c r="L389" s="70"/>
      <c r="M389" s="71">
        <v>603.0931396484375</v>
      </c>
      <c r="N389" s="71">
        <v>8145.2529296875</v>
      </c>
      <c r="O389" s="72"/>
      <c r="P389" s="73"/>
      <c r="Q389" s="73"/>
      <c r="R389" s="94"/>
      <c r="S389" s="45">
        <v>0</v>
      </c>
      <c r="T389" s="45">
        <v>1</v>
      </c>
      <c r="U389" s="46">
        <v>0</v>
      </c>
      <c r="V389" s="46">
        <v>0.122455</v>
      </c>
      <c r="W389" s="46">
        <v>0.068916</v>
      </c>
      <c r="X389" s="46">
        <v>0.002053</v>
      </c>
      <c r="Y389" s="46">
        <v>0</v>
      </c>
      <c r="Z389" s="46">
        <v>0</v>
      </c>
      <c r="AA389" s="68">
        <v>389</v>
      </c>
      <c r="AB389" s="68"/>
      <c r="AC389" s="69"/>
      <c r="AD389" s="83" t="s">
        <v>1429</v>
      </c>
      <c r="AE389" s="83" t="s">
        <v>2056</v>
      </c>
      <c r="AF389" s="83"/>
      <c r="AG389" s="83"/>
      <c r="AH389" s="83"/>
      <c r="AI389" s="83" t="s">
        <v>2467</v>
      </c>
      <c r="AJ389" s="92">
        <v>42678.813993055555</v>
      </c>
      <c r="AK389" s="89" t="str">
        <f>HYPERLINK("https://yt3.ggpht.com/ytc/AGIKgqMWkl7uK18Z9m-edVJWTy8hQbiuIJULKe5_h1Pp-Q=s88-c-k-c0x00ffffff-no-rj")</f>
        <v>https://yt3.ggpht.com/ytc/AGIKgqMWkl7uK18Z9m-edVJWTy8hQbiuIJULKe5_h1Pp-Q=s88-c-k-c0x00ffffff-no-rj</v>
      </c>
      <c r="AL389" s="83">
        <v>38329</v>
      </c>
      <c r="AM389" s="83">
        <v>0</v>
      </c>
      <c r="AN389" s="83">
        <v>420</v>
      </c>
      <c r="AO389" s="83" t="b">
        <v>0</v>
      </c>
      <c r="AP389" s="83">
        <v>62</v>
      </c>
      <c r="AQ389" s="83"/>
      <c r="AR389" s="83"/>
      <c r="AS389" s="83" t="s">
        <v>2744</v>
      </c>
      <c r="AT389" s="89" t="str">
        <f>HYPERLINK("https://www.youtube.com/channel/UCAATVky1WIyWqz5cU84Fo-A")</f>
        <v>https://www.youtube.com/channel/UCAATVky1WIyWqz5cU84Fo-A</v>
      </c>
      <c r="AU389" s="83" t="str">
        <f>REPLACE(INDEX(GroupVertices[Group],MATCH(Vertices[[#This Row],[Vertex]],GroupVertices[Vertex],0)),1,1,"")</f>
        <v>1</v>
      </c>
      <c r="AV389" s="45"/>
      <c r="AW389" s="46"/>
      <c r="AX389" s="45"/>
      <c r="AY389" s="46"/>
      <c r="AZ389" s="45"/>
      <c r="BA389" s="46"/>
      <c r="BB389" s="45"/>
      <c r="BC389" s="46"/>
      <c r="BD389" s="45"/>
      <c r="BE389" s="110" t="s">
        <v>1874</v>
      </c>
      <c r="BF389" s="110" t="s">
        <v>1874</v>
      </c>
      <c r="BG389" s="110" t="s">
        <v>1874</v>
      </c>
      <c r="BH389" s="110" t="s">
        <v>1874</v>
      </c>
      <c r="BI389" s="2"/>
    </row>
    <row r="390" spans="1:61" ht="15">
      <c r="A390" s="61" t="s">
        <v>592</v>
      </c>
      <c r="B390" s="62" t="s">
        <v>2893</v>
      </c>
      <c r="C390" s="62"/>
      <c r="D390" s="63">
        <v>100</v>
      </c>
      <c r="E390" s="65">
        <v>50</v>
      </c>
      <c r="F390" s="100" t="str">
        <f>HYPERLINK("https://yt3.ggpht.com/ytc/AGIKgqMyB6L2hJf2qJfLSWhp5wa_ktnqkqMRohqpWQ=s88-c-k-c0x00ffffff-no-rj")</f>
        <v>https://yt3.ggpht.com/ytc/AGIKgqMyB6L2hJf2qJfLSWhp5wa_ktnqkqMRohqpWQ=s88-c-k-c0x00ffffff-no-rj</v>
      </c>
      <c r="G390" s="62"/>
      <c r="H390" s="66" t="s">
        <v>1430</v>
      </c>
      <c r="I390" s="67"/>
      <c r="J390" s="67" t="s">
        <v>159</v>
      </c>
      <c r="K390" s="66" t="s">
        <v>1430</v>
      </c>
      <c r="L390" s="70"/>
      <c r="M390" s="71">
        <v>289.6746826171875</v>
      </c>
      <c r="N390" s="71">
        <v>8145.2529296875</v>
      </c>
      <c r="O390" s="72"/>
      <c r="P390" s="73"/>
      <c r="Q390" s="73"/>
      <c r="R390" s="94"/>
      <c r="S390" s="45">
        <v>0</v>
      </c>
      <c r="T390" s="45">
        <v>1</v>
      </c>
      <c r="U390" s="46">
        <v>0</v>
      </c>
      <c r="V390" s="46">
        <v>0.122455</v>
      </c>
      <c r="W390" s="46">
        <v>0.068916</v>
      </c>
      <c r="X390" s="46">
        <v>0.002053</v>
      </c>
      <c r="Y390" s="46">
        <v>0</v>
      </c>
      <c r="Z390" s="46">
        <v>0</v>
      </c>
      <c r="AA390" s="68">
        <v>390</v>
      </c>
      <c r="AB390" s="68"/>
      <c r="AC390" s="69"/>
      <c r="AD390" s="83" t="s">
        <v>1430</v>
      </c>
      <c r="AE390" s="83"/>
      <c r="AF390" s="83"/>
      <c r="AG390" s="83"/>
      <c r="AH390" s="83"/>
      <c r="AI390" s="83" t="s">
        <v>2468</v>
      </c>
      <c r="AJ390" s="92">
        <v>41460.683657407404</v>
      </c>
      <c r="AK390" s="89" t="str">
        <f>HYPERLINK("https://yt3.ggpht.com/ytc/AGIKgqMyB6L2hJf2qJfLSWhp5wa_ktnqkqMRohqpWQ=s88-c-k-c0x00ffffff-no-rj")</f>
        <v>https://yt3.ggpht.com/ytc/AGIKgqMyB6L2hJf2qJfLSWhp5wa_ktnqkqMRohqpWQ=s88-c-k-c0x00ffffff-no-rj</v>
      </c>
      <c r="AL390" s="83">
        <v>0</v>
      </c>
      <c r="AM390" s="83">
        <v>0</v>
      </c>
      <c r="AN390" s="83">
        <v>1</v>
      </c>
      <c r="AO390" s="83" t="b">
        <v>0</v>
      </c>
      <c r="AP390" s="83">
        <v>0</v>
      </c>
      <c r="AQ390" s="83"/>
      <c r="AR390" s="83"/>
      <c r="AS390" s="83" t="s">
        <v>2744</v>
      </c>
      <c r="AT390" s="89" t="str">
        <f>HYPERLINK("https://www.youtube.com/channel/UCY7USCLk46R3vYXqfIym8mA")</f>
        <v>https://www.youtube.com/channel/UCY7USCLk46R3vYXqfIym8mA</v>
      </c>
      <c r="AU390" s="83" t="str">
        <f>REPLACE(INDEX(GroupVertices[Group],MATCH(Vertices[[#This Row],[Vertex]],GroupVertices[Vertex],0)),1,1,"")</f>
        <v>1</v>
      </c>
      <c r="AV390" s="45"/>
      <c r="AW390" s="46"/>
      <c r="AX390" s="45"/>
      <c r="AY390" s="46"/>
      <c r="AZ390" s="45"/>
      <c r="BA390" s="46"/>
      <c r="BB390" s="45"/>
      <c r="BC390" s="46"/>
      <c r="BD390" s="45"/>
      <c r="BE390" s="110" t="s">
        <v>1874</v>
      </c>
      <c r="BF390" s="110" t="s">
        <v>1874</v>
      </c>
      <c r="BG390" s="110" t="s">
        <v>1874</v>
      </c>
      <c r="BH390" s="110" t="s">
        <v>1874</v>
      </c>
      <c r="BI390" s="2"/>
    </row>
    <row r="391" spans="1:61" ht="15">
      <c r="A391" s="61" t="s">
        <v>593</v>
      </c>
      <c r="B391" s="62" t="s">
        <v>2893</v>
      </c>
      <c r="C391" s="62"/>
      <c r="D391" s="63">
        <v>100</v>
      </c>
      <c r="E391" s="65">
        <v>50</v>
      </c>
      <c r="F391" s="100" t="str">
        <f>HYPERLINK("https://yt3.ggpht.com/ytc/AGIKgqNRQ1B4ZOwqZwQoffkpj0XP1Qp1pT3_jqtMt46b=s88-c-k-c0x00ffffff-no-rj")</f>
        <v>https://yt3.ggpht.com/ytc/AGIKgqNRQ1B4ZOwqZwQoffkpj0XP1Qp1pT3_jqtMt46b=s88-c-k-c0x00ffffff-no-rj</v>
      </c>
      <c r="G391" s="62"/>
      <c r="H391" s="66" t="s">
        <v>1431</v>
      </c>
      <c r="I391" s="67"/>
      <c r="J391" s="67" t="s">
        <v>159</v>
      </c>
      <c r="K391" s="66" t="s">
        <v>1431</v>
      </c>
      <c r="L391" s="70"/>
      <c r="M391" s="71">
        <v>2170.185791015625</v>
      </c>
      <c r="N391" s="71">
        <v>8774.4033203125</v>
      </c>
      <c r="O391" s="72"/>
      <c r="P391" s="73"/>
      <c r="Q391" s="73"/>
      <c r="R391" s="94"/>
      <c r="S391" s="45">
        <v>0</v>
      </c>
      <c r="T391" s="45">
        <v>1</v>
      </c>
      <c r="U391" s="46">
        <v>0</v>
      </c>
      <c r="V391" s="46">
        <v>0.122455</v>
      </c>
      <c r="W391" s="46">
        <v>0.068916</v>
      </c>
      <c r="X391" s="46">
        <v>0.002053</v>
      </c>
      <c r="Y391" s="46">
        <v>0</v>
      </c>
      <c r="Z391" s="46">
        <v>0</v>
      </c>
      <c r="AA391" s="68">
        <v>391</v>
      </c>
      <c r="AB391" s="68"/>
      <c r="AC391" s="69"/>
      <c r="AD391" s="83" t="s">
        <v>1431</v>
      </c>
      <c r="AE391" s="83" t="s">
        <v>2057</v>
      </c>
      <c r="AF391" s="83"/>
      <c r="AG391" s="83"/>
      <c r="AH391" s="83"/>
      <c r="AI391" s="83" t="s">
        <v>2469</v>
      </c>
      <c r="AJ391" s="92">
        <v>41489.936840277776</v>
      </c>
      <c r="AK391" s="89" t="str">
        <f>HYPERLINK("https://yt3.ggpht.com/ytc/AGIKgqNRQ1B4ZOwqZwQoffkpj0XP1Qp1pT3_jqtMt46b=s88-c-k-c0x00ffffff-no-rj")</f>
        <v>https://yt3.ggpht.com/ytc/AGIKgqNRQ1B4ZOwqZwQoffkpj0XP1Qp1pT3_jqtMt46b=s88-c-k-c0x00ffffff-no-rj</v>
      </c>
      <c r="AL391" s="83">
        <v>9</v>
      </c>
      <c r="AM391" s="83">
        <v>0</v>
      </c>
      <c r="AN391" s="83">
        <v>1</v>
      </c>
      <c r="AO391" s="83" t="b">
        <v>0</v>
      </c>
      <c r="AP391" s="83">
        <v>1</v>
      </c>
      <c r="AQ391" s="83"/>
      <c r="AR391" s="83"/>
      <c r="AS391" s="83" t="s">
        <v>2744</v>
      </c>
      <c r="AT391" s="89" t="str">
        <f>HYPERLINK("https://www.youtube.com/channel/UCGlKJbLVM-HRu5tgi7aDdNg")</f>
        <v>https://www.youtube.com/channel/UCGlKJbLVM-HRu5tgi7aDdNg</v>
      </c>
      <c r="AU391" s="83" t="str">
        <f>REPLACE(INDEX(GroupVertices[Group],MATCH(Vertices[[#This Row],[Vertex]],GroupVertices[Vertex],0)),1,1,"")</f>
        <v>1</v>
      </c>
      <c r="AV391" s="45"/>
      <c r="AW391" s="46"/>
      <c r="AX391" s="45"/>
      <c r="AY391" s="46"/>
      <c r="AZ391" s="45"/>
      <c r="BA391" s="46"/>
      <c r="BB391" s="45"/>
      <c r="BC391" s="46"/>
      <c r="BD391" s="45"/>
      <c r="BE391" s="110" t="s">
        <v>1874</v>
      </c>
      <c r="BF391" s="110" t="s">
        <v>1874</v>
      </c>
      <c r="BG391" s="110" t="s">
        <v>1874</v>
      </c>
      <c r="BH391" s="110" t="s">
        <v>1874</v>
      </c>
      <c r="BI391" s="2"/>
    </row>
    <row r="392" spans="1:61" ht="15">
      <c r="A392" s="61" t="s">
        <v>594</v>
      </c>
      <c r="B392" s="62" t="s">
        <v>2893</v>
      </c>
      <c r="C392" s="62"/>
      <c r="D392" s="63">
        <v>100</v>
      </c>
      <c r="E392" s="65">
        <v>50</v>
      </c>
      <c r="F392" s="100" t="str">
        <f>HYPERLINK("https://yt3.ggpht.com/ytc/AGIKgqM0Sjc5ay8waeuuFKR1f27PKxKuSI-mI1GiXMdirA=s88-c-k-c0x00ffffff-no-rj")</f>
        <v>https://yt3.ggpht.com/ytc/AGIKgqM0Sjc5ay8waeuuFKR1f27PKxKuSI-mI1GiXMdirA=s88-c-k-c0x00ffffff-no-rj</v>
      </c>
      <c r="G392" s="62"/>
      <c r="H392" s="66" t="s">
        <v>1432</v>
      </c>
      <c r="I392" s="67"/>
      <c r="J392" s="67" t="s">
        <v>159</v>
      </c>
      <c r="K392" s="66" t="s">
        <v>1432</v>
      </c>
      <c r="L392" s="70"/>
      <c r="M392" s="71">
        <v>1856.76708984375</v>
      </c>
      <c r="N392" s="71">
        <v>8774.4033203125</v>
      </c>
      <c r="O392" s="72"/>
      <c r="P392" s="73"/>
      <c r="Q392" s="73"/>
      <c r="R392" s="94"/>
      <c r="S392" s="45">
        <v>0</v>
      </c>
      <c r="T392" s="45">
        <v>1</v>
      </c>
      <c r="U392" s="46">
        <v>0</v>
      </c>
      <c r="V392" s="46">
        <v>0.122455</v>
      </c>
      <c r="W392" s="46">
        <v>0.068916</v>
      </c>
      <c r="X392" s="46">
        <v>0.002053</v>
      </c>
      <c r="Y392" s="46">
        <v>0</v>
      </c>
      <c r="Z392" s="46">
        <v>0</v>
      </c>
      <c r="AA392" s="68">
        <v>392</v>
      </c>
      <c r="AB392" s="68"/>
      <c r="AC392" s="69"/>
      <c r="AD392" s="83" t="s">
        <v>1432</v>
      </c>
      <c r="AE392" s="83" t="s">
        <v>2058</v>
      </c>
      <c r="AF392" s="83"/>
      <c r="AG392" s="83"/>
      <c r="AH392" s="83"/>
      <c r="AI392" s="83" t="s">
        <v>2470</v>
      </c>
      <c r="AJ392" s="83" t="s">
        <v>2722</v>
      </c>
      <c r="AK392" s="89" t="str">
        <f>HYPERLINK("https://yt3.ggpht.com/ytc/AGIKgqM0Sjc5ay8waeuuFKR1f27PKxKuSI-mI1GiXMdirA=s88-c-k-c0x00ffffff-no-rj")</f>
        <v>https://yt3.ggpht.com/ytc/AGIKgqM0Sjc5ay8waeuuFKR1f27PKxKuSI-mI1GiXMdirA=s88-c-k-c0x00ffffff-no-rj</v>
      </c>
      <c r="AL392" s="83">
        <v>0</v>
      </c>
      <c r="AM392" s="83">
        <v>0</v>
      </c>
      <c r="AN392" s="83">
        <v>0</v>
      </c>
      <c r="AO392" s="83" t="b">
        <v>0</v>
      </c>
      <c r="AP392" s="83">
        <v>0</v>
      </c>
      <c r="AQ392" s="83"/>
      <c r="AR392" s="83"/>
      <c r="AS392" s="83" t="s">
        <v>2744</v>
      </c>
      <c r="AT392" s="89" t="str">
        <f>HYPERLINK("https://www.youtube.com/channel/UCkHKTPq8uioksF_fEtdSOdQ")</f>
        <v>https://www.youtube.com/channel/UCkHKTPq8uioksF_fEtdSOdQ</v>
      </c>
      <c r="AU392" s="83" t="str">
        <f>REPLACE(INDEX(GroupVertices[Group],MATCH(Vertices[[#This Row],[Vertex]],GroupVertices[Vertex],0)),1,1,"")</f>
        <v>1</v>
      </c>
      <c r="AV392" s="45"/>
      <c r="AW392" s="46"/>
      <c r="AX392" s="45"/>
      <c r="AY392" s="46"/>
      <c r="AZ392" s="45"/>
      <c r="BA392" s="46"/>
      <c r="BB392" s="45"/>
      <c r="BC392" s="46"/>
      <c r="BD392" s="45"/>
      <c r="BE392" s="110" t="s">
        <v>1874</v>
      </c>
      <c r="BF392" s="110" t="s">
        <v>1874</v>
      </c>
      <c r="BG392" s="110" t="s">
        <v>1874</v>
      </c>
      <c r="BH392" s="110" t="s">
        <v>1874</v>
      </c>
      <c r="BI392" s="2"/>
    </row>
    <row r="393" spans="1:61" ht="15">
      <c r="A393" s="61" t="s">
        <v>595</v>
      </c>
      <c r="B393" s="62" t="s">
        <v>2893</v>
      </c>
      <c r="C393" s="62"/>
      <c r="D393" s="63">
        <v>100</v>
      </c>
      <c r="E393" s="65">
        <v>50</v>
      </c>
      <c r="F393" s="100" t="str">
        <f>HYPERLINK("https://yt3.ggpht.com/ytc/AGIKgqPn1mOFucvbmC_zfOIfWkt3w0IgSnWWlXPTlg=s88-c-k-c0x00ffffff-no-rj")</f>
        <v>https://yt3.ggpht.com/ytc/AGIKgqPn1mOFucvbmC_zfOIfWkt3w0IgSnWWlXPTlg=s88-c-k-c0x00ffffff-no-rj</v>
      </c>
      <c r="G393" s="62"/>
      <c r="H393" s="66" t="s">
        <v>1433</v>
      </c>
      <c r="I393" s="67"/>
      <c r="J393" s="67" t="s">
        <v>159</v>
      </c>
      <c r="K393" s="66" t="s">
        <v>1433</v>
      </c>
      <c r="L393" s="70"/>
      <c r="M393" s="71">
        <v>1543.3487548828125</v>
      </c>
      <c r="N393" s="71">
        <v>8774.4033203125</v>
      </c>
      <c r="O393" s="72"/>
      <c r="P393" s="73"/>
      <c r="Q393" s="73"/>
      <c r="R393" s="94"/>
      <c r="S393" s="45">
        <v>0</v>
      </c>
      <c r="T393" s="45">
        <v>1</v>
      </c>
      <c r="U393" s="46">
        <v>0</v>
      </c>
      <c r="V393" s="46">
        <v>0.122455</v>
      </c>
      <c r="W393" s="46">
        <v>0.068916</v>
      </c>
      <c r="X393" s="46">
        <v>0.002053</v>
      </c>
      <c r="Y393" s="46">
        <v>0</v>
      </c>
      <c r="Z393" s="46">
        <v>0</v>
      </c>
      <c r="AA393" s="68">
        <v>393</v>
      </c>
      <c r="AB393" s="68"/>
      <c r="AC393" s="69"/>
      <c r="AD393" s="83" t="s">
        <v>1433</v>
      </c>
      <c r="AE393" s="83"/>
      <c r="AF393" s="83"/>
      <c r="AG393" s="83"/>
      <c r="AH393" s="83"/>
      <c r="AI393" s="83" t="s">
        <v>2471</v>
      </c>
      <c r="AJ393" s="83" t="s">
        <v>2723</v>
      </c>
      <c r="AK393" s="89" t="str">
        <f>HYPERLINK("https://yt3.ggpht.com/ytc/AGIKgqPn1mOFucvbmC_zfOIfWkt3w0IgSnWWlXPTlg=s88-c-k-c0x00ffffff-no-rj")</f>
        <v>https://yt3.ggpht.com/ytc/AGIKgqPn1mOFucvbmC_zfOIfWkt3w0IgSnWWlXPTlg=s88-c-k-c0x00ffffff-no-rj</v>
      </c>
      <c r="AL393" s="83">
        <v>20</v>
      </c>
      <c r="AM393" s="83">
        <v>0</v>
      </c>
      <c r="AN393" s="83">
        <v>1</v>
      </c>
      <c r="AO393" s="83" t="b">
        <v>0</v>
      </c>
      <c r="AP393" s="83">
        <v>1</v>
      </c>
      <c r="AQ393" s="83"/>
      <c r="AR393" s="83"/>
      <c r="AS393" s="83" t="s">
        <v>2744</v>
      </c>
      <c r="AT393" s="89" t="str">
        <f>HYPERLINK("https://www.youtube.com/channel/UC2qji7e1gOQTuCB76aVUecw")</f>
        <v>https://www.youtube.com/channel/UC2qji7e1gOQTuCB76aVUecw</v>
      </c>
      <c r="AU393" s="83" t="str">
        <f>REPLACE(INDEX(GroupVertices[Group],MATCH(Vertices[[#This Row],[Vertex]],GroupVertices[Vertex],0)),1,1,"")</f>
        <v>1</v>
      </c>
      <c r="AV393" s="45"/>
      <c r="AW393" s="46"/>
      <c r="AX393" s="45"/>
      <c r="AY393" s="46"/>
      <c r="AZ393" s="45"/>
      <c r="BA393" s="46"/>
      <c r="BB393" s="45"/>
      <c r="BC393" s="46"/>
      <c r="BD393" s="45"/>
      <c r="BE393" s="110" t="s">
        <v>1874</v>
      </c>
      <c r="BF393" s="110" t="s">
        <v>1874</v>
      </c>
      <c r="BG393" s="110" t="s">
        <v>1874</v>
      </c>
      <c r="BH393" s="110" t="s">
        <v>1874</v>
      </c>
      <c r="BI393" s="2"/>
    </row>
    <row r="394" spans="1:61" ht="15">
      <c r="A394" s="61" t="s">
        <v>596</v>
      </c>
      <c r="B394" s="62" t="s">
        <v>2893</v>
      </c>
      <c r="C394" s="62"/>
      <c r="D394" s="63">
        <v>100</v>
      </c>
      <c r="E394" s="65">
        <v>50</v>
      </c>
      <c r="F394" s="100" t="str">
        <f>HYPERLINK("https://yt3.ggpht.com/ytc/AGIKgqPsEXPqGWMmpbDq9ZFbjeNFtzikAc02NqGOY5VQ=s88-c-k-c0x00ffffff-no-rj")</f>
        <v>https://yt3.ggpht.com/ytc/AGIKgqPsEXPqGWMmpbDq9ZFbjeNFtzikAc02NqGOY5VQ=s88-c-k-c0x00ffffff-no-rj</v>
      </c>
      <c r="G394" s="62"/>
      <c r="H394" s="66" t="s">
        <v>1434</v>
      </c>
      <c r="I394" s="67"/>
      <c r="J394" s="67" t="s">
        <v>159</v>
      </c>
      <c r="K394" s="66" t="s">
        <v>1434</v>
      </c>
      <c r="L394" s="70"/>
      <c r="M394" s="71">
        <v>1229.93017578125</v>
      </c>
      <c r="N394" s="71">
        <v>8774.4033203125</v>
      </c>
      <c r="O394" s="72"/>
      <c r="P394" s="73"/>
      <c r="Q394" s="73"/>
      <c r="R394" s="94"/>
      <c r="S394" s="45">
        <v>0</v>
      </c>
      <c r="T394" s="45">
        <v>1</v>
      </c>
      <c r="U394" s="46">
        <v>0</v>
      </c>
      <c r="V394" s="46">
        <v>0.122455</v>
      </c>
      <c r="W394" s="46">
        <v>0.068916</v>
      </c>
      <c r="X394" s="46">
        <v>0.002053</v>
      </c>
      <c r="Y394" s="46">
        <v>0</v>
      </c>
      <c r="Z394" s="46">
        <v>0</v>
      </c>
      <c r="AA394" s="68">
        <v>394</v>
      </c>
      <c r="AB394" s="68"/>
      <c r="AC394" s="69"/>
      <c r="AD394" s="83" t="s">
        <v>1434</v>
      </c>
      <c r="AE394" s="83" t="s">
        <v>2059</v>
      </c>
      <c r="AF394" s="83"/>
      <c r="AG394" s="83"/>
      <c r="AH394" s="83"/>
      <c r="AI394" s="83" t="s">
        <v>2472</v>
      </c>
      <c r="AJ394" s="83" t="s">
        <v>2724</v>
      </c>
      <c r="AK394" s="89" t="str">
        <f>HYPERLINK("https://yt3.ggpht.com/ytc/AGIKgqPsEXPqGWMmpbDq9ZFbjeNFtzikAc02NqGOY5VQ=s88-c-k-c0x00ffffff-no-rj")</f>
        <v>https://yt3.ggpht.com/ytc/AGIKgqPsEXPqGWMmpbDq9ZFbjeNFtzikAc02NqGOY5VQ=s88-c-k-c0x00ffffff-no-rj</v>
      </c>
      <c r="AL394" s="83">
        <v>7806</v>
      </c>
      <c r="AM394" s="83">
        <v>0</v>
      </c>
      <c r="AN394" s="83">
        <v>64</v>
      </c>
      <c r="AO394" s="83" t="b">
        <v>0</v>
      </c>
      <c r="AP394" s="83">
        <v>2</v>
      </c>
      <c r="AQ394" s="83"/>
      <c r="AR394" s="83"/>
      <c r="AS394" s="83" t="s">
        <v>2744</v>
      </c>
      <c r="AT394" s="89" t="str">
        <f>HYPERLINK("https://www.youtube.com/channel/UChxlItVvSgYBNtJfSCUbzVw")</f>
        <v>https://www.youtube.com/channel/UChxlItVvSgYBNtJfSCUbzVw</v>
      </c>
      <c r="AU394" s="83" t="str">
        <f>REPLACE(INDEX(GroupVertices[Group],MATCH(Vertices[[#This Row],[Vertex]],GroupVertices[Vertex],0)),1,1,"")</f>
        <v>1</v>
      </c>
      <c r="AV394" s="45"/>
      <c r="AW394" s="46"/>
      <c r="AX394" s="45"/>
      <c r="AY394" s="46"/>
      <c r="AZ394" s="45"/>
      <c r="BA394" s="46"/>
      <c r="BB394" s="45"/>
      <c r="BC394" s="46"/>
      <c r="BD394" s="45"/>
      <c r="BE394" s="110" t="s">
        <v>1874</v>
      </c>
      <c r="BF394" s="110" t="s">
        <v>1874</v>
      </c>
      <c r="BG394" s="110" t="s">
        <v>1874</v>
      </c>
      <c r="BH394" s="110" t="s">
        <v>1874</v>
      </c>
      <c r="BI394" s="2"/>
    </row>
    <row r="395" spans="1:61" ht="15">
      <c r="A395" s="61" t="s">
        <v>597</v>
      </c>
      <c r="B395" s="62" t="s">
        <v>2893</v>
      </c>
      <c r="C395" s="62"/>
      <c r="D395" s="63">
        <v>100</v>
      </c>
      <c r="E395" s="65">
        <v>50</v>
      </c>
      <c r="F395" s="100" t="str">
        <f>HYPERLINK("https://yt3.ggpht.com/ytc/AGIKgqPShY4eTdNPeTpLfXCypDvBhGObJB1oc1jwDR4mUg=s88-c-k-c0x00ffffff-no-rj")</f>
        <v>https://yt3.ggpht.com/ytc/AGIKgqPShY4eTdNPeTpLfXCypDvBhGObJB1oc1jwDR4mUg=s88-c-k-c0x00ffffff-no-rj</v>
      </c>
      <c r="G395" s="62"/>
      <c r="H395" s="66" t="s">
        <v>1435</v>
      </c>
      <c r="I395" s="67"/>
      <c r="J395" s="67" t="s">
        <v>159</v>
      </c>
      <c r="K395" s="66" t="s">
        <v>1435</v>
      </c>
      <c r="L395" s="70"/>
      <c r="M395" s="71">
        <v>916.51171875</v>
      </c>
      <c r="N395" s="71">
        <v>8774.4033203125</v>
      </c>
      <c r="O395" s="72"/>
      <c r="P395" s="73"/>
      <c r="Q395" s="73"/>
      <c r="R395" s="94"/>
      <c r="S395" s="45">
        <v>0</v>
      </c>
      <c r="T395" s="45">
        <v>1</v>
      </c>
      <c r="U395" s="46">
        <v>0</v>
      </c>
      <c r="V395" s="46">
        <v>0.122455</v>
      </c>
      <c r="W395" s="46">
        <v>0.068916</v>
      </c>
      <c r="X395" s="46">
        <v>0.002053</v>
      </c>
      <c r="Y395" s="46">
        <v>0</v>
      </c>
      <c r="Z395" s="46">
        <v>0</v>
      </c>
      <c r="AA395" s="68">
        <v>395</v>
      </c>
      <c r="AB395" s="68"/>
      <c r="AC395" s="69"/>
      <c r="AD395" s="83" t="s">
        <v>1435</v>
      </c>
      <c r="AE395" s="83" t="s">
        <v>2060</v>
      </c>
      <c r="AF395" s="83"/>
      <c r="AG395" s="83"/>
      <c r="AH395" s="83"/>
      <c r="AI395" s="83" t="s">
        <v>2473</v>
      </c>
      <c r="AJ395" s="83" t="s">
        <v>2725</v>
      </c>
      <c r="AK395" s="89" t="str">
        <f>HYPERLINK("https://yt3.ggpht.com/ytc/AGIKgqPShY4eTdNPeTpLfXCypDvBhGObJB1oc1jwDR4mUg=s88-c-k-c0x00ffffff-no-rj")</f>
        <v>https://yt3.ggpht.com/ytc/AGIKgqPShY4eTdNPeTpLfXCypDvBhGObJB1oc1jwDR4mUg=s88-c-k-c0x00ffffff-no-rj</v>
      </c>
      <c r="AL395" s="83">
        <v>268</v>
      </c>
      <c r="AM395" s="83">
        <v>0</v>
      </c>
      <c r="AN395" s="83">
        <v>7</v>
      </c>
      <c r="AO395" s="83" t="b">
        <v>0</v>
      </c>
      <c r="AP395" s="83">
        <v>9</v>
      </c>
      <c r="AQ395" s="83"/>
      <c r="AR395" s="83"/>
      <c r="AS395" s="83" t="s">
        <v>2744</v>
      </c>
      <c r="AT395" s="89" t="str">
        <f>HYPERLINK("https://www.youtube.com/channel/UCzlsypGdECICHvnqtQin2Vw")</f>
        <v>https://www.youtube.com/channel/UCzlsypGdECICHvnqtQin2Vw</v>
      </c>
      <c r="AU395" s="83" t="str">
        <f>REPLACE(INDEX(GroupVertices[Group],MATCH(Vertices[[#This Row],[Vertex]],GroupVertices[Vertex],0)),1,1,"")</f>
        <v>1</v>
      </c>
      <c r="AV395" s="45"/>
      <c r="AW395" s="46"/>
      <c r="AX395" s="45"/>
      <c r="AY395" s="46"/>
      <c r="AZ395" s="45"/>
      <c r="BA395" s="46"/>
      <c r="BB395" s="45"/>
      <c r="BC395" s="46"/>
      <c r="BD395" s="45"/>
      <c r="BE395" s="110" t="s">
        <v>1874</v>
      </c>
      <c r="BF395" s="110" t="s">
        <v>1874</v>
      </c>
      <c r="BG395" s="110" t="s">
        <v>1874</v>
      </c>
      <c r="BH395" s="110" t="s">
        <v>1874</v>
      </c>
      <c r="BI395" s="2"/>
    </row>
    <row r="396" spans="1:61" ht="15">
      <c r="A396" s="61" t="s">
        <v>598</v>
      </c>
      <c r="B396" s="62" t="s">
        <v>2893</v>
      </c>
      <c r="C396" s="62"/>
      <c r="D396" s="63">
        <v>100</v>
      </c>
      <c r="E396" s="65">
        <v>50</v>
      </c>
      <c r="F396" s="100" t="str">
        <f>HYPERLINK("https://yt3.ggpht.com/ytc/AGIKgqNGj1YsD--3TZkvQagOXLTxVsS8lSW3GepPiDo_cg=s88-c-k-c0x00ffffff-no-rj")</f>
        <v>https://yt3.ggpht.com/ytc/AGIKgqNGj1YsD--3TZkvQagOXLTxVsS8lSW3GepPiDo_cg=s88-c-k-c0x00ffffff-no-rj</v>
      </c>
      <c r="G396" s="62"/>
      <c r="H396" s="66" t="s">
        <v>1436</v>
      </c>
      <c r="I396" s="67"/>
      <c r="J396" s="67" t="s">
        <v>159</v>
      </c>
      <c r="K396" s="66" t="s">
        <v>1436</v>
      </c>
      <c r="L396" s="70"/>
      <c r="M396" s="71">
        <v>603.0931396484375</v>
      </c>
      <c r="N396" s="71">
        <v>8774.4033203125</v>
      </c>
      <c r="O396" s="72"/>
      <c r="P396" s="73"/>
      <c r="Q396" s="73"/>
      <c r="R396" s="94"/>
      <c r="S396" s="45">
        <v>0</v>
      </c>
      <c r="T396" s="45">
        <v>1</v>
      </c>
      <c r="U396" s="46">
        <v>0</v>
      </c>
      <c r="V396" s="46">
        <v>0.122455</v>
      </c>
      <c r="W396" s="46">
        <v>0.068916</v>
      </c>
      <c r="X396" s="46">
        <v>0.002053</v>
      </c>
      <c r="Y396" s="46">
        <v>0</v>
      </c>
      <c r="Z396" s="46">
        <v>0</v>
      </c>
      <c r="AA396" s="68">
        <v>396</v>
      </c>
      <c r="AB396" s="68"/>
      <c r="AC396" s="69"/>
      <c r="AD396" s="83" t="s">
        <v>1436</v>
      </c>
      <c r="AE396" s="83" t="s">
        <v>2061</v>
      </c>
      <c r="AF396" s="83"/>
      <c r="AG396" s="83"/>
      <c r="AH396" s="83"/>
      <c r="AI396" s="83" t="s">
        <v>2474</v>
      </c>
      <c r="AJ396" s="83" t="s">
        <v>2726</v>
      </c>
      <c r="AK396" s="89" t="str">
        <f>HYPERLINK("https://yt3.ggpht.com/ytc/AGIKgqNGj1YsD--3TZkvQagOXLTxVsS8lSW3GepPiDo_cg=s88-c-k-c0x00ffffff-no-rj")</f>
        <v>https://yt3.ggpht.com/ytc/AGIKgqNGj1YsD--3TZkvQagOXLTxVsS8lSW3GepPiDo_cg=s88-c-k-c0x00ffffff-no-rj</v>
      </c>
      <c r="AL396" s="83">
        <v>0</v>
      </c>
      <c r="AM396" s="83">
        <v>0</v>
      </c>
      <c r="AN396" s="83">
        <v>87</v>
      </c>
      <c r="AO396" s="83" t="b">
        <v>0</v>
      </c>
      <c r="AP396" s="83">
        <v>0</v>
      </c>
      <c r="AQ396" s="83"/>
      <c r="AR396" s="83"/>
      <c r="AS396" s="83" t="s">
        <v>2744</v>
      </c>
      <c r="AT396" s="89" t="str">
        <f>HYPERLINK("https://www.youtube.com/channel/UCEKoblHlkmsxuAQFgKBhQaQ")</f>
        <v>https://www.youtube.com/channel/UCEKoblHlkmsxuAQFgKBhQaQ</v>
      </c>
      <c r="AU396" s="83" t="str">
        <f>REPLACE(INDEX(GroupVertices[Group],MATCH(Vertices[[#This Row],[Vertex]],GroupVertices[Vertex],0)),1,1,"")</f>
        <v>1</v>
      </c>
      <c r="AV396" s="45"/>
      <c r="AW396" s="46"/>
      <c r="AX396" s="45"/>
      <c r="AY396" s="46"/>
      <c r="AZ396" s="45"/>
      <c r="BA396" s="46"/>
      <c r="BB396" s="45"/>
      <c r="BC396" s="46"/>
      <c r="BD396" s="45"/>
      <c r="BE396" s="110" t="s">
        <v>1874</v>
      </c>
      <c r="BF396" s="110" t="s">
        <v>1874</v>
      </c>
      <c r="BG396" s="110" t="s">
        <v>1874</v>
      </c>
      <c r="BH396" s="110" t="s">
        <v>1874</v>
      </c>
      <c r="BI396" s="2"/>
    </row>
    <row r="397" spans="1:61" ht="15">
      <c r="A397" s="61" t="s">
        <v>599</v>
      </c>
      <c r="B397" s="62" t="s">
        <v>2893</v>
      </c>
      <c r="C397" s="62"/>
      <c r="D397" s="63">
        <v>100</v>
      </c>
      <c r="E397" s="65">
        <v>50</v>
      </c>
      <c r="F397" s="100" t="str">
        <f>HYPERLINK("https://yt3.ggpht.com/ytc/AGIKgqN2VZEuP8tctwtEtrQY-Q6AdEemWcLFijz3CSc=s88-c-k-c0x00ffffff-no-rj")</f>
        <v>https://yt3.ggpht.com/ytc/AGIKgqN2VZEuP8tctwtEtrQY-Q6AdEemWcLFijz3CSc=s88-c-k-c0x00ffffff-no-rj</v>
      </c>
      <c r="G397" s="62"/>
      <c r="H397" s="66" t="s">
        <v>1437</v>
      </c>
      <c r="I397" s="67"/>
      <c r="J397" s="67" t="s">
        <v>159</v>
      </c>
      <c r="K397" s="66" t="s">
        <v>1437</v>
      </c>
      <c r="L397" s="70"/>
      <c r="M397" s="71">
        <v>289.6746826171875</v>
      </c>
      <c r="N397" s="71">
        <v>8774.4033203125</v>
      </c>
      <c r="O397" s="72"/>
      <c r="P397" s="73"/>
      <c r="Q397" s="73"/>
      <c r="R397" s="94"/>
      <c r="S397" s="45">
        <v>0</v>
      </c>
      <c r="T397" s="45">
        <v>1</v>
      </c>
      <c r="U397" s="46">
        <v>0</v>
      </c>
      <c r="V397" s="46">
        <v>0.122455</v>
      </c>
      <c r="W397" s="46">
        <v>0.068916</v>
      </c>
      <c r="X397" s="46">
        <v>0.002053</v>
      </c>
      <c r="Y397" s="46">
        <v>0</v>
      </c>
      <c r="Z397" s="46">
        <v>0</v>
      </c>
      <c r="AA397" s="68">
        <v>397</v>
      </c>
      <c r="AB397" s="68"/>
      <c r="AC397" s="69"/>
      <c r="AD397" s="83" t="s">
        <v>1437</v>
      </c>
      <c r="AE397" s="83"/>
      <c r="AF397" s="83"/>
      <c r="AG397" s="83"/>
      <c r="AH397" s="83"/>
      <c r="AI397" s="83" t="s">
        <v>2475</v>
      </c>
      <c r="AJ397" s="92">
        <v>42563.92969907408</v>
      </c>
      <c r="AK397" s="89" t="str">
        <f>HYPERLINK("https://yt3.ggpht.com/ytc/AGIKgqN2VZEuP8tctwtEtrQY-Q6AdEemWcLFijz3CSc=s88-c-k-c0x00ffffff-no-rj")</f>
        <v>https://yt3.ggpht.com/ytc/AGIKgqN2VZEuP8tctwtEtrQY-Q6AdEemWcLFijz3CSc=s88-c-k-c0x00ffffff-no-rj</v>
      </c>
      <c r="AL397" s="83">
        <v>0</v>
      </c>
      <c r="AM397" s="83">
        <v>0</v>
      </c>
      <c r="AN397" s="83">
        <v>1</v>
      </c>
      <c r="AO397" s="83" t="b">
        <v>0</v>
      </c>
      <c r="AP397" s="83">
        <v>0</v>
      </c>
      <c r="AQ397" s="83"/>
      <c r="AR397" s="83"/>
      <c r="AS397" s="83" t="s">
        <v>2744</v>
      </c>
      <c r="AT397" s="89" t="str">
        <f>HYPERLINK("https://www.youtube.com/channel/UCmcfn6dwihiPvRYeoYUcTuQ")</f>
        <v>https://www.youtube.com/channel/UCmcfn6dwihiPvRYeoYUcTuQ</v>
      </c>
      <c r="AU397" s="83" t="str">
        <f>REPLACE(INDEX(GroupVertices[Group],MATCH(Vertices[[#This Row],[Vertex]],GroupVertices[Vertex],0)),1,1,"")</f>
        <v>1</v>
      </c>
      <c r="AV397" s="45"/>
      <c r="AW397" s="46"/>
      <c r="AX397" s="45"/>
      <c r="AY397" s="46"/>
      <c r="AZ397" s="45"/>
      <c r="BA397" s="46"/>
      <c r="BB397" s="45"/>
      <c r="BC397" s="46"/>
      <c r="BD397" s="45"/>
      <c r="BE397" s="110" t="s">
        <v>1874</v>
      </c>
      <c r="BF397" s="110" t="s">
        <v>1874</v>
      </c>
      <c r="BG397" s="110" t="s">
        <v>1874</v>
      </c>
      <c r="BH397" s="110" t="s">
        <v>1874</v>
      </c>
      <c r="BI397" s="2"/>
    </row>
    <row r="398" spans="1:61" ht="15">
      <c r="A398" s="61" t="s">
        <v>600</v>
      </c>
      <c r="B398" s="62" t="s">
        <v>2893</v>
      </c>
      <c r="C398" s="62"/>
      <c r="D398" s="63">
        <v>100</v>
      </c>
      <c r="E398" s="65">
        <v>50</v>
      </c>
      <c r="F398" s="100" t="str">
        <f>HYPERLINK("https://yt3.ggpht.com/ytc/AGIKgqMx245yPS3zCQ6k-9XTQJB3sSbUCQwelam8HEIPKg=s88-c-k-c0x00ffffff-no-rj")</f>
        <v>https://yt3.ggpht.com/ytc/AGIKgqMx245yPS3zCQ6k-9XTQJB3sSbUCQwelam8HEIPKg=s88-c-k-c0x00ffffff-no-rj</v>
      </c>
      <c r="G398" s="62"/>
      <c r="H398" s="66" t="s">
        <v>1438</v>
      </c>
      <c r="I398" s="67"/>
      <c r="J398" s="67" t="s">
        <v>159</v>
      </c>
      <c r="K398" s="66" t="s">
        <v>1438</v>
      </c>
      <c r="L398" s="70"/>
      <c r="M398" s="71">
        <v>2170.185791015625</v>
      </c>
      <c r="N398" s="71">
        <v>9403.5537109375</v>
      </c>
      <c r="O398" s="72"/>
      <c r="P398" s="73"/>
      <c r="Q398" s="73"/>
      <c r="R398" s="94"/>
      <c r="S398" s="45">
        <v>0</v>
      </c>
      <c r="T398" s="45">
        <v>1</v>
      </c>
      <c r="U398" s="46">
        <v>0</v>
      </c>
      <c r="V398" s="46">
        <v>0.122455</v>
      </c>
      <c r="W398" s="46">
        <v>0.068916</v>
      </c>
      <c r="X398" s="46">
        <v>0.002053</v>
      </c>
      <c r="Y398" s="46">
        <v>0</v>
      </c>
      <c r="Z398" s="46">
        <v>0</v>
      </c>
      <c r="AA398" s="68">
        <v>398</v>
      </c>
      <c r="AB398" s="68"/>
      <c r="AC398" s="69"/>
      <c r="AD398" s="83" t="s">
        <v>1438</v>
      </c>
      <c r="AE398" s="83"/>
      <c r="AF398" s="83"/>
      <c r="AG398" s="83"/>
      <c r="AH398" s="83"/>
      <c r="AI398" s="83" t="s">
        <v>2476</v>
      </c>
      <c r="AJ398" s="83" t="s">
        <v>2727</v>
      </c>
      <c r="AK398" s="89" t="str">
        <f>HYPERLINK("https://yt3.ggpht.com/ytc/AGIKgqMx245yPS3zCQ6k-9XTQJB3sSbUCQwelam8HEIPKg=s88-c-k-c0x00ffffff-no-rj")</f>
        <v>https://yt3.ggpht.com/ytc/AGIKgqMx245yPS3zCQ6k-9XTQJB3sSbUCQwelam8HEIPKg=s88-c-k-c0x00ffffff-no-rj</v>
      </c>
      <c r="AL398" s="83">
        <v>0</v>
      </c>
      <c r="AM398" s="83">
        <v>0</v>
      </c>
      <c r="AN398" s="83">
        <v>0</v>
      </c>
      <c r="AO398" s="83" t="b">
        <v>0</v>
      </c>
      <c r="AP398" s="83">
        <v>0</v>
      </c>
      <c r="AQ398" s="83"/>
      <c r="AR398" s="83"/>
      <c r="AS398" s="83" t="s">
        <v>2744</v>
      </c>
      <c r="AT398" s="89" t="str">
        <f>HYPERLINK("https://www.youtube.com/channel/UCO3jHXcKlPehZomoKHovdbA")</f>
        <v>https://www.youtube.com/channel/UCO3jHXcKlPehZomoKHovdbA</v>
      </c>
      <c r="AU398" s="83" t="str">
        <f>REPLACE(INDEX(GroupVertices[Group],MATCH(Vertices[[#This Row],[Vertex]],GroupVertices[Vertex],0)),1,1,"")</f>
        <v>1</v>
      </c>
      <c r="AV398" s="45"/>
      <c r="AW398" s="46"/>
      <c r="AX398" s="45"/>
      <c r="AY398" s="46"/>
      <c r="AZ398" s="45"/>
      <c r="BA398" s="46"/>
      <c r="BB398" s="45"/>
      <c r="BC398" s="46"/>
      <c r="BD398" s="45"/>
      <c r="BE398" s="110" t="s">
        <v>1874</v>
      </c>
      <c r="BF398" s="110" t="s">
        <v>1874</v>
      </c>
      <c r="BG398" s="110" t="s">
        <v>1874</v>
      </c>
      <c r="BH398" s="110" t="s">
        <v>1874</v>
      </c>
      <c r="BI398" s="2"/>
    </row>
    <row r="399" spans="1:61" ht="15">
      <c r="A399" s="61" t="s">
        <v>601</v>
      </c>
      <c r="B399" s="62" t="s">
        <v>2893</v>
      </c>
      <c r="C399" s="62"/>
      <c r="D399" s="63">
        <v>100</v>
      </c>
      <c r="E399" s="65">
        <v>50</v>
      </c>
      <c r="F399" s="100" t="str">
        <f>HYPERLINK("https://yt3.ggpht.com/ytc/AGIKgqOv_oUjYORPfl86hRA-4R9qTyNAYDE9cEXUZ0UBQg=s88-c-k-c0x00ffffff-no-rj")</f>
        <v>https://yt3.ggpht.com/ytc/AGIKgqOv_oUjYORPfl86hRA-4R9qTyNAYDE9cEXUZ0UBQg=s88-c-k-c0x00ffffff-no-rj</v>
      </c>
      <c r="G399" s="62"/>
      <c r="H399" s="66" t="s">
        <v>1439</v>
      </c>
      <c r="I399" s="67"/>
      <c r="J399" s="67" t="s">
        <v>159</v>
      </c>
      <c r="K399" s="66" t="s">
        <v>1439</v>
      </c>
      <c r="L399" s="70"/>
      <c r="M399" s="71">
        <v>1856.76708984375</v>
      </c>
      <c r="N399" s="71">
        <v>9403.5537109375</v>
      </c>
      <c r="O399" s="72"/>
      <c r="P399" s="73"/>
      <c r="Q399" s="73"/>
      <c r="R399" s="94"/>
      <c r="S399" s="45">
        <v>0</v>
      </c>
      <c r="T399" s="45">
        <v>1</v>
      </c>
      <c r="U399" s="46">
        <v>0</v>
      </c>
      <c r="V399" s="46">
        <v>0.122455</v>
      </c>
      <c r="W399" s="46">
        <v>0.068916</v>
      </c>
      <c r="X399" s="46">
        <v>0.002053</v>
      </c>
      <c r="Y399" s="46">
        <v>0</v>
      </c>
      <c r="Z399" s="46">
        <v>0</v>
      </c>
      <c r="AA399" s="68">
        <v>399</v>
      </c>
      <c r="AB399" s="68"/>
      <c r="AC399" s="69"/>
      <c r="AD399" s="83" t="s">
        <v>1439</v>
      </c>
      <c r="AE399" s="83" t="s">
        <v>2062</v>
      </c>
      <c r="AF399" s="83"/>
      <c r="AG399" s="83"/>
      <c r="AH399" s="83"/>
      <c r="AI399" s="83" t="s">
        <v>2477</v>
      </c>
      <c r="AJ399" s="83" t="s">
        <v>2728</v>
      </c>
      <c r="AK399" s="89" t="str">
        <f>HYPERLINK("https://yt3.ggpht.com/ytc/AGIKgqOv_oUjYORPfl86hRA-4R9qTyNAYDE9cEXUZ0UBQg=s88-c-k-c0x00ffffff-no-rj")</f>
        <v>https://yt3.ggpht.com/ytc/AGIKgqOv_oUjYORPfl86hRA-4R9qTyNAYDE9cEXUZ0UBQg=s88-c-k-c0x00ffffff-no-rj</v>
      </c>
      <c r="AL399" s="83">
        <v>0</v>
      </c>
      <c r="AM399" s="83">
        <v>0</v>
      </c>
      <c r="AN399" s="83">
        <v>4</v>
      </c>
      <c r="AO399" s="83" t="b">
        <v>0</v>
      </c>
      <c r="AP399" s="83">
        <v>0</v>
      </c>
      <c r="AQ399" s="83"/>
      <c r="AR399" s="83"/>
      <c r="AS399" s="83" t="s">
        <v>2744</v>
      </c>
      <c r="AT399" s="89" t="str">
        <f>HYPERLINK("https://www.youtube.com/channel/UCeNTItdmY67VMstASY9kYBQ")</f>
        <v>https://www.youtube.com/channel/UCeNTItdmY67VMstASY9kYBQ</v>
      </c>
      <c r="AU399" s="83" t="str">
        <f>REPLACE(INDEX(GroupVertices[Group],MATCH(Vertices[[#This Row],[Vertex]],GroupVertices[Vertex],0)),1,1,"")</f>
        <v>1</v>
      </c>
      <c r="AV399" s="45"/>
      <c r="AW399" s="46"/>
      <c r="AX399" s="45"/>
      <c r="AY399" s="46"/>
      <c r="AZ399" s="45"/>
      <c r="BA399" s="46"/>
      <c r="BB399" s="45"/>
      <c r="BC399" s="46"/>
      <c r="BD399" s="45"/>
      <c r="BE399" s="110" t="s">
        <v>1874</v>
      </c>
      <c r="BF399" s="110" t="s">
        <v>1874</v>
      </c>
      <c r="BG399" s="110" t="s">
        <v>1874</v>
      </c>
      <c r="BH399" s="110" t="s">
        <v>1874</v>
      </c>
      <c r="BI399" s="2"/>
    </row>
    <row r="400" spans="1:61" ht="15">
      <c r="A400" s="61" t="s">
        <v>602</v>
      </c>
      <c r="B400" s="62" t="s">
        <v>2893</v>
      </c>
      <c r="C400" s="62"/>
      <c r="D400" s="63">
        <v>100</v>
      </c>
      <c r="E400" s="65">
        <v>50</v>
      </c>
      <c r="F400" s="100" t="str">
        <f>HYPERLINK("https://yt3.ggpht.com/ytc/AGIKgqOKsJeYAg300KdrWkGlfLUB-UhK5i-htkRaF7SQqQ=s88-c-k-c0x00ffffff-no-rj")</f>
        <v>https://yt3.ggpht.com/ytc/AGIKgqOKsJeYAg300KdrWkGlfLUB-UhK5i-htkRaF7SQqQ=s88-c-k-c0x00ffffff-no-rj</v>
      </c>
      <c r="G400" s="62"/>
      <c r="H400" s="66" t="s">
        <v>1440</v>
      </c>
      <c r="I400" s="67"/>
      <c r="J400" s="67" t="s">
        <v>159</v>
      </c>
      <c r="K400" s="66" t="s">
        <v>1440</v>
      </c>
      <c r="L400" s="70"/>
      <c r="M400" s="71">
        <v>1543.3487548828125</v>
      </c>
      <c r="N400" s="71">
        <v>9403.5537109375</v>
      </c>
      <c r="O400" s="72"/>
      <c r="P400" s="73"/>
      <c r="Q400" s="73"/>
      <c r="R400" s="94"/>
      <c r="S400" s="45">
        <v>0</v>
      </c>
      <c r="T400" s="45">
        <v>1</v>
      </c>
      <c r="U400" s="46">
        <v>0</v>
      </c>
      <c r="V400" s="46">
        <v>0.122455</v>
      </c>
      <c r="W400" s="46">
        <v>0.068916</v>
      </c>
      <c r="X400" s="46">
        <v>0.002053</v>
      </c>
      <c r="Y400" s="46">
        <v>0</v>
      </c>
      <c r="Z400" s="46">
        <v>0</v>
      </c>
      <c r="AA400" s="68">
        <v>400</v>
      </c>
      <c r="AB400" s="68"/>
      <c r="AC400" s="69"/>
      <c r="AD400" s="83" t="s">
        <v>1440</v>
      </c>
      <c r="AE400" s="83" t="s">
        <v>2063</v>
      </c>
      <c r="AF400" s="83"/>
      <c r="AG400" s="83"/>
      <c r="AH400" s="83"/>
      <c r="AI400" s="83" t="s">
        <v>2478</v>
      </c>
      <c r="AJ400" s="83" t="s">
        <v>2729</v>
      </c>
      <c r="AK400" s="89" t="str">
        <f>HYPERLINK("https://yt3.ggpht.com/ytc/AGIKgqOKsJeYAg300KdrWkGlfLUB-UhK5i-htkRaF7SQqQ=s88-c-k-c0x00ffffff-no-rj")</f>
        <v>https://yt3.ggpht.com/ytc/AGIKgqOKsJeYAg300KdrWkGlfLUB-UhK5i-htkRaF7SQqQ=s88-c-k-c0x00ffffff-no-rj</v>
      </c>
      <c r="AL400" s="83">
        <v>117939</v>
      </c>
      <c r="AM400" s="83">
        <v>0</v>
      </c>
      <c r="AN400" s="83">
        <v>414</v>
      </c>
      <c r="AO400" s="83" t="b">
        <v>0</v>
      </c>
      <c r="AP400" s="83">
        <v>45</v>
      </c>
      <c r="AQ400" s="83"/>
      <c r="AR400" s="83"/>
      <c r="AS400" s="83" t="s">
        <v>2744</v>
      </c>
      <c r="AT400" s="89" t="str">
        <f>HYPERLINK("https://www.youtube.com/channel/UCQsrjPueWUyqLGR_31n6xdA")</f>
        <v>https://www.youtube.com/channel/UCQsrjPueWUyqLGR_31n6xdA</v>
      </c>
      <c r="AU400" s="83" t="str">
        <f>REPLACE(INDEX(GroupVertices[Group],MATCH(Vertices[[#This Row],[Vertex]],GroupVertices[Vertex],0)),1,1,"")</f>
        <v>1</v>
      </c>
      <c r="AV400" s="45"/>
      <c r="AW400" s="46"/>
      <c r="AX400" s="45"/>
      <c r="AY400" s="46"/>
      <c r="AZ400" s="45"/>
      <c r="BA400" s="46"/>
      <c r="BB400" s="45"/>
      <c r="BC400" s="46"/>
      <c r="BD400" s="45"/>
      <c r="BE400" s="110" t="s">
        <v>1874</v>
      </c>
      <c r="BF400" s="110" t="s">
        <v>1874</v>
      </c>
      <c r="BG400" s="110" t="s">
        <v>1874</v>
      </c>
      <c r="BH400" s="110" t="s">
        <v>1874</v>
      </c>
      <c r="BI400" s="2"/>
    </row>
    <row r="401" spans="1:61" ht="15">
      <c r="A401" s="61" t="s">
        <v>603</v>
      </c>
      <c r="B401" s="62" t="s">
        <v>2893</v>
      </c>
      <c r="C401" s="62"/>
      <c r="D401" s="63">
        <v>100</v>
      </c>
      <c r="E401" s="65">
        <v>50</v>
      </c>
      <c r="F401" s="100" t="str">
        <f>HYPERLINK("https://yt3.ggpht.com/ytc/AGIKgqOXYC4ftdNrKmQNyDQ2P2jC-c41eSBVH4H2iPR3=s88-c-k-c0x00ffffff-no-rj")</f>
        <v>https://yt3.ggpht.com/ytc/AGIKgqOXYC4ftdNrKmQNyDQ2P2jC-c41eSBVH4H2iPR3=s88-c-k-c0x00ffffff-no-rj</v>
      </c>
      <c r="G401" s="62"/>
      <c r="H401" s="66" t="s">
        <v>1441</v>
      </c>
      <c r="I401" s="67"/>
      <c r="J401" s="67" t="s">
        <v>159</v>
      </c>
      <c r="K401" s="66" t="s">
        <v>1441</v>
      </c>
      <c r="L401" s="70"/>
      <c r="M401" s="71">
        <v>1229.93017578125</v>
      </c>
      <c r="N401" s="71">
        <v>9403.5537109375</v>
      </c>
      <c r="O401" s="72"/>
      <c r="P401" s="73"/>
      <c r="Q401" s="73"/>
      <c r="R401" s="94"/>
      <c r="S401" s="45">
        <v>0</v>
      </c>
      <c r="T401" s="45">
        <v>1</v>
      </c>
      <c r="U401" s="46">
        <v>0</v>
      </c>
      <c r="V401" s="46">
        <v>0.122455</v>
      </c>
      <c r="W401" s="46">
        <v>0.068916</v>
      </c>
      <c r="X401" s="46">
        <v>0.002053</v>
      </c>
      <c r="Y401" s="46">
        <v>0</v>
      </c>
      <c r="Z401" s="46">
        <v>0</v>
      </c>
      <c r="AA401" s="68">
        <v>401</v>
      </c>
      <c r="AB401" s="68"/>
      <c r="AC401" s="69"/>
      <c r="AD401" s="83" t="s">
        <v>1441</v>
      </c>
      <c r="AE401" s="83"/>
      <c r="AF401" s="83"/>
      <c r="AG401" s="83"/>
      <c r="AH401" s="83"/>
      <c r="AI401" s="83" t="s">
        <v>2479</v>
      </c>
      <c r="AJ401" s="83" t="s">
        <v>2730</v>
      </c>
      <c r="AK401" s="89" t="str">
        <f>HYPERLINK("https://yt3.ggpht.com/ytc/AGIKgqOXYC4ftdNrKmQNyDQ2P2jC-c41eSBVH4H2iPR3=s88-c-k-c0x00ffffff-no-rj")</f>
        <v>https://yt3.ggpht.com/ytc/AGIKgqOXYC4ftdNrKmQNyDQ2P2jC-c41eSBVH4H2iPR3=s88-c-k-c0x00ffffff-no-rj</v>
      </c>
      <c r="AL401" s="83">
        <v>0</v>
      </c>
      <c r="AM401" s="83">
        <v>0</v>
      </c>
      <c r="AN401" s="83">
        <v>24</v>
      </c>
      <c r="AO401" s="83" t="b">
        <v>0</v>
      </c>
      <c r="AP401" s="83">
        <v>0</v>
      </c>
      <c r="AQ401" s="83"/>
      <c r="AR401" s="83"/>
      <c r="AS401" s="83" t="s">
        <v>2744</v>
      </c>
      <c r="AT401" s="89" t="str">
        <f>HYPERLINK("https://www.youtube.com/channel/UChDa2pVRP6qj-V1PMMnPpLQ")</f>
        <v>https://www.youtube.com/channel/UChDa2pVRP6qj-V1PMMnPpLQ</v>
      </c>
      <c r="AU401" s="83" t="str">
        <f>REPLACE(INDEX(GroupVertices[Group],MATCH(Vertices[[#This Row],[Vertex]],GroupVertices[Vertex],0)),1,1,"")</f>
        <v>1</v>
      </c>
      <c r="AV401" s="45"/>
      <c r="AW401" s="46"/>
      <c r="AX401" s="45"/>
      <c r="AY401" s="46"/>
      <c r="AZ401" s="45"/>
      <c r="BA401" s="46"/>
      <c r="BB401" s="45"/>
      <c r="BC401" s="46"/>
      <c r="BD401" s="45"/>
      <c r="BE401" s="110" t="s">
        <v>1874</v>
      </c>
      <c r="BF401" s="110" t="s">
        <v>1874</v>
      </c>
      <c r="BG401" s="110" t="s">
        <v>1874</v>
      </c>
      <c r="BH401" s="110" t="s">
        <v>1874</v>
      </c>
      <c r="BI401" s="2"/>
    </row>
    <row r="402" spans="1:61" ht="15">
      <c r="A402" s="61" t="s">
        <v>604</v>
      </c>
      <c r="B402" s="62" t="s">
        <v>2893</v>
      </c>
      <c r="C402" s="62"/>
      <c r="D402" s="63">
        <v>100</v>
      </c>
      <c r="E402" s="65">
        <v>50</v>
      </c>
      <c r="F402" s="100" t="str">
        <f>HYPERLINK("https://yt3.ggpht.com/TFVSzZQeMIQBEe9pOdzPZAneni8BcvZGnSMbkIA1BvGtOBE93tPrxweNJftVb-y8ePPgROG8=s88-c-k-c0x00ffffff-no-rj")</f>
        <v>https://yt3.ggpht.com/TFVSzZQeMIQBEe9pOdzPZAneni8BcvZGnSMbkIA1BvGtOBE93tPrxweNJftVb-y8ePPgROG8=s88-c-k-c0x00ffffff-no-rj</v>
      </c>
      <c r="G402" s="62"/>
      <c r="H402" s="66" t="s">
        <v>1442</v>
      </c>
      <c r="I402" s="67"/>
      <c r="J402" s="67" t="s">
        <v>159</v>
      </c>
      <c r="K402" s="66" t="s">
        <v>1442</v>
      </c>
      <c r="L402" s="70"/>
      <c r="M402" s="71">
        <v>916.51171875</v>
      </c>
      <c r="N402" s="71">
        <v>9403.5537109375</v>
      </c>
      <c r="O402" s="72"/>
      <c r="P402" s="73"/>
      <c r="Q402" s="73"/>
      <c r="R402" s="94"/>
      <c r="S402" s="45">
        <v>0</v>
      </c>
      <c r="T402" s="45">
        <v>1</v>
      </c>
      <c r="U402" s="46">
        <v>0</v>
      </c>
      <c r="V402" s="46">
        <v>0.122455</v>
      </c>
      <c r="W402" s="46">
        <v>0.068916</v>
      </c>
      <c r="X402" s="46">
        <v>0.002053</v>
      </c>
      <c r="Y402" s="46">
        <v>0</v>
      </c>
      <c r="Z402" s="46">
        <v>0</v>
      </c>
      <c r="AA402" s="68">
        <v>402</v>
      </c>
      <c r="AB402" s="68"/>
      <c r="AC402" s="69"/>
      <c r="AD402" s="83" t="s">
        <v>1442</v>
      </c>
      <c r="AE402" s="83"/>
      <c r="AF402" s="83"/>
      <c r="AG402" s="83"/>
      <c r="AH402" s="83"/>
      <c r="AI402" s="83" t="s">
        <v>2480</v>
      </c>
      <c r="AJ402" s="92">
        <v>41641.40582175926</v>
      </c>
      <c r="AK402" s="89" t="str">
        <f>HYPERLINK("https://yt3.ggpht.com/TFVSzZQeMIQBEe9pOdzPZAneni8BcvZGnSMbkIA1BvGtOBE93tPrxweNJftVb-y8ePPgROG8=s88-c-k-c0x00ffffff-no-rj")</f>
        <v>https://yt3.ggpht.com/TFVSzZQeMIQBEe9pOdzPZAneni8BcvZGnSMbkIA1BvGtOBE93tPrxweNJftVb-y8ePPgROG8=s88-c-k-c0x00ffffff-no-rj</v>
      </c>
      <c r="AL402" s="83">
        <v>0</v>
      </c>
      <c r="AM402" s="83">
        <v>0</v>
      </c>
      <c r="AN402" s="83">
        <v>0</v>
      </c>
      <c r="AO402" s="83" t="b">
        <v>0</v>
      </c>
      <c r="AP402" s="83">
        <v>0</v>
      </c>
      <c r="AQ402" s="83"/>
      <c r="AR402" s="83"/>
      <c r="AS402" s="83" t="s">
        <v>2744</v>
      </c>
      <c r="AT402" s="89" t="str">
        <f>HYPERLINK("https://www.youtube.com/channel/UCzVhgK2IRJd17_85DOSNkIw")</f>
        <v>https://www.youtube.com/channel/UCzVhgK2IRJd17_85DOSNkIw</v>
      </c>
      <c r="AU402" s="83" t="str">
        <f>REPLACE(INDEX(GroupVertices[Group],MATCH(Vertices[[#This Row],[Vertex]],GroupVertices[Vertex],0)),1,1,"")</f>
        <v>1</v>
      </c>
      <c r="AV402" s="45"/>
      <c r="AW402" s="46"/>
      <c r="AX402" s="45"/>
      <c r="AY402" s="46"/>
      <c r="AZ402" s="45"/>
      <c r="BA402" s="46"/>
      <c r="BB402" s="45"/>
      <c r="BC402" s="46"/>
      <c r="BD402" s="45"/>
      <c r="BE402" s="110" t="s">
        <v>1874</v>
      </c>
      <c r="BF402" s="110" t="s">
        <v>1874</v>
      </c>
      <c r="BG402" s="110" t="s">
        <v>1874</v>
      </c>
      <c r="BH402" s="110" t="s">
        <v>1874</v>
      </c>
      <c r="BI402" s="2"/>
    </row>
    <row r="403" spans="1:61" ht="15">
      <c r="A403" s="61" t="s">
        <v>605</v>
      </c>
      <c r="B403" s="62" t="s">
        <v>2893</v>
      </c>
      <c r="C403" s="62"/>
      <c r="D403" s="63">
        <v>100</v>
      </c>
      <c r="E403" s="65">
        <v>50</v>
      </c>
      <c r="F403" s="100" t="str">
        <f>HYPERLINK("https://yt3.ggpht.com/ytc/AGIKgqNf3muqqQhdmyNpWRrc3-QzR1KwtW9JYy6Iztz2=s88-c-k-c0x00ffffff-no-rj")</f>
        <v>https://yt3.ggpht.com/ytc/AGIKgqNf3muqqQhdmyNpWRrc3-QzR1KwtW9JYy6Iztz2=s88-c-k-c0x00ffffff-no-rj</v>
      </c>
      <c r="G403" s="62"/>
      <c r="H403" s="66" t="s">
        <v>1443</v>
      </c>
      <c r="I403" s="67"/>
      <c r="J403" s="67" t="s">
        <v>159</v>
      </c>
      <c r="K403" s="66" t="s">
        <v>1443</v>
      </c>
      <c r="L403" s="70"/>
      <c r="M403" s="71">
        <v>289.6746826171875</v>
      </c>
      <c r="N403" s="71">
        <v>9403.5537109375</v>
      </c>
      <c r="O403" s="72"/>
      <c r="P403" s="73"/>
      <c r="Q403" s="73"/>
      <c r="R403" s="94"/>
      <c r="S403" s="45">
        <v>0</v>
      </c>
      <c r="T403" s="45">
        <v>1</v>
      </c>
      <c r="U403" s="46">
        <v>0</v>
      </c>
      <c r="V403" s="46">
        <v>0.122455</v>
      </c>
      <c r="W403" s="46">
        <v>0.068916</v>
      </c>
      <c r="X403" s="46">
        <v>0.002053</v>
      </c>
      <c r="Y403" s="46">
        <v>0</v>
      </c>
      <c r="Z403" s="46">
        <v>0</v>
      </c>
      <c r="AA403" s="68">
        <v>403</v>
      </c>
      <c r="AB403" s="68"/>
      <c r="AC403" s="69"/>
      <c r="AD403" s="83" t="s">
        <v>1443</v>
      </c>
      <c r="AE403" s="83"/>
      <c r="AF403" s="83"/>
      <c r="AG403" s="83"/>
      <c r="AH403" s="83"/>
      <c r="AI403" s="83" t="s">
        <v>2481</v>
      </c>
      <c r="AJ403" s="92">
        <v>39423.91400462963</v>
      </c>
      <c r="AK403" s="89" t="str">
        <f>HYPERLINK("https://yt3.ggpht.com/ytc/AGIKgqNf3muqqQhdmyNpWRrc3-QzR1KwtW9JYy6Iztz2=s88-c-k-c0x00ffffff-no-rj")</f>
        <v>https://yt3.ggpht.com/ytc/AGIKgqNf3muqqQhdmyNpWRrc3-QzR1KwtW9JYy6Iztz2=s88-c-k-c0x00ffffff-no-rj</v>
      </c>
      <c r="AL403" s="83">
        <v>960</v>
      </c>
      <c r="AM403" s="83">
        <v>0</v>
      </c>
      <c r="AN403" s="83">
        <v>7</v>
      </c>
      <c r="AO403" s="83" t="b">
        <v>0</v>
      </c>
      <c r="AP403" s="83">
        <v>10</v>
      </c>
      <c r="AQ403" s="83"/>
      <c r="AR403" s="83"/>
      <c r="AS403" s="83" t="s">
        <v>2744</v>
      </c>
      <c r="AT403" s="89" t="str">
        <f>HYPERLINK("https://www.youtube.com/channel/UC-fUhJhbbrB2CWLGCXmnsQw")</f>
        <v>https://www.youtube.com/channel/UC-fUhJhbbrB2CWLGCXmnsQw</v>
      </c>
      <c r="AU403" s="83" t="str">
        <f>REPLACE(INDEX(GroupVertices[Group],MATCH(Vertices[[#This Row],[Vertex]],GroupVertices[Vertex],0)),1,1,"")</f>
        <v>1</v>
      </c>
      <c r="AV403" s="45"/>
      <c r="AW403" s="46"/>
      <c r="AX403" s="45"/>
      <c r="AY403" s="46"/>
      <c r="AZ403" s="45"/>
      <c r="BA403" s="46"/>
      <c r="BB403" s="45"/>
      <c r="BC403" s="46"/>
      <c r="BD403" s="45"/>
      <c r="BE403" s="110" t="s">
        <v>1874</v>
      </c>
      <c r="BF403" s="110" t="s">
        <v>1874</v>
      </c>
      <c r="BG403" s="110" t="s">
        <v>1874</v>
      </c>
      <c r="BH403" s="110" t="s">
        <v>1874</v>
      </c>
      <c r="BI403" s="2"/>
    </row>
    <row r="404" spans="1:61" ht="15">
      <c r="A404" s="61" t="s">
        <v>607</v>
      </c>
      <c r="B404" s="62" t="s">
        <v>2893</v>
      </c>
      <c r="C404" s="62"/>
      <c r="D404" s="63">
        <v>108.91089108910892</v>
      </c>
      <c r="E404" s="65">
        <v>56.25</v>
      </c>
      <c r="F404" s="100" t="str">
        <f>HYPERLINK("https://yt3.ggpht.com/-4az_pzdzJz_iJrin7KJNnyveJsRcCZ7Lw7dTpBLXfGbDJyONjHtIqWRJxPx9tFPtGaH5qaN=s88-c-k-c0x00ffffff-no-rj")</f>
        <v>https://yt3.ggpht.com/-4az_pzdzJz_iJrin7KJNnyveJsRcCZ7Lw7dTpBLXfGbDJyONjHtIqWRJxPx9tFPtGaH5qaN=s88-c-k-c0x00ffffff-no-rj</v>
      </c>
      <c r="G404" s="62"/>
      <c r="H404" s="66" t="s">
        <v>1905</v>
      </c>
      <c r="I404" s="67"/>
      <c r="J404" s="67" t="s">
        <v>159</v>
      </c>
      <c r="K404" s="66" t="s">
        <v>1905</v>
      </c>
      <c r="L404" s="70"/>
      <c r="M404" s="71">
        <v>5466.208984375</v>
      </c>
      <c r="N404" s="71">
        <v>2581.202392578125</v>
      </c>
      <c r="O404" s="72"/>
      <c r="P404" s="73"/>
      <c r="Q404" s="73"/>
      <c r="R404" s="94"/>
      <c r="S404" s="45">
        <v>1</v>
      </c>
      <c r="T404" s="45">
        <v>1</v>
      </c>
      <c r="U404" s="46">
        <v>0</v>
      </c>
      <c r="V404" s="46">
        <v>0</v>
      </c>
      <c r="W404" s="46">
        <v>0</v>
      </c>
      <c r="X404" s="46">
        <v>0.002358</v>
      </c>
      <c r="Y404" s="46">
        <v>0</v>
      </c>
      <c r="Z404" s="46">
        <v>0</v>
      </c>
      <c r="AA404" s="68">
        <v>404</v>
      </c>
      <c r="AB404" s="68"/>
      <c r="AC404" s="69"/>
      <c r="AD404" s="83" t="s">
        <v>1905</v>
      </c>
      <c r="AE404" s="83" t="s">
        <v>2064</v>
      </c>
      <c r="AF404" s="83"/>
      <c r="AG404" s="83"/>
      <c r="AH404" s="83"/>
      <c r="AI404" s="83" t="s">
        <v>2482</v>
      </c>
      <c r="AJ404" s="83" t="s">
        <v>2731</v>
      </c>
      <c r="AK404" s="89" t="str">
        <f>HYPERLINK("https://yt3.ggpht.com/-4az_pzdzJz_iJrin7KJNnyveJsRcCZ7Lw7dTpBLXfGbDJyONjHtIqWRJxPx9tFPtGaH5qaN=s88-c-k-c0x00ffffff-no-rj")</f>
        <v>https://yt3.ggpht.com/-4az_pzdzJz_iJrin7KJNnyveJsRcCZ7Lw7dTpBLXfGbDJyONjHtIqWRJxPx9tFPtGaH5qaN=s88-c-k-c0x00ffffff-no-rj</v>
      </c>
      <c r="AL404" s="83">
        <v>5796</v>
      </c>
      <c r="AM404" s="83">
        <v>0</v>
      </c>
      <c r="AN404" s="83">
        <v>4</v>
      </c>
      <c r="AO404" s="83" t="b">
        <v>0</v>
      </c>
      <c r="AP404" s="83">
        <v>64</v>
      </c>
      <c r="AQ404" s="83"/>
      <c r="AR404" s="83"/>
      <c r="AS404" s="83" t="s">
        <v>2744</v>
      </c>
      <c r="AT404" s="89" t="str">
        <f>HYPERLINK("https://www.youtube.com/channel/UCJEQNXB_YpE1C8Asbzkybyg")</f>
        <v>https://www.youtube.com/channel/UCJEQNXB_YpE1C8Asbzkybyg</v>
      </c>
      <c r="AU404" s="83" t="str">
        <f>REPLACE(INDEX(GroupVertices[Group],MATCH(Vertices[[#This Row],[Vertex]],GroupVertices[Vertex],0)),1,1,"")</f>
        <v>6</v>
      </c>
      <c r="AV404" s="45"/>
      <c r="AW404" s="46"/>
      <c r="AX404" s="45"/>
      <c r="AY404" s="46"/>
      <c r="AZ404" s="45"/>
      <c r="BA404" s="46"/>
      <c r="BB404" s="45"/>
      <c r="BC404" s="46"/>
      <c r="BD404" s="45"/>
      <c r="BE404" s="110" t="s">
        <v>1874</v>
      </c>
      <c r="BF404" s="110" t="s">
        <v>1874</v>
      </c>
      <c r="BG404" s="110" t="s">
        <v>1874</v>
      </c>
      <c r="BH404" s="110" t="s">
        <v>1874</v>
      </c>
      <c r="BI404" s="2"/>
    </row>
    <row r="405" spans="1:61" ht="15">
      <c r="A405" s="61" t="s">
        <v>608</v>
      </c>
      <c r="B405" s="62" t="s">
        <v>2893</v>
      </c>
      <c r="C405" s="62"/>
      <c r="D405" s="63">
        <v>108.91089108910892</v>
      </c>
      <c r="E405" s="65">
        <v>56.25</v>
      </c>
      <c r="F405" s="100" t="str">
        <f>HYPERLINK("https://yt3.ggpht.com/ytc/AGIKgqNKwteb_bvBpj2jWsqJW3fPOpchqyHTgSw6GA=s88-c-k-c0x00ffffff-no-rj")</f>
        <v>https://yt3.ggpht.com/ytc/AGIKgqNKwteb_bvBpj2jWsqJW3fPOpchqyHTgSw6GA=s88-c-k-c0x00ffffff-no-rj</v>
      </c>
      <c r="G405" s="62"/>
      <c r="H405" s="66" t="s">
        <v>1906</v>
      </c>
      <c r="I405" s="67"/>
      <c r="J405" s="67" t="s">
        <v>159</v>
      </c>
      <c r="K405" s="66" t="s">
        <v>1906</v>
      </c>
      <c r="L405" s="70"/>
      <c r="M405" s="71">
        <v>5787.98486328125</v>
      </c>
      <c r="N405" s="71">
        <v>2581.202392578125</v>
      </c>
      <c r="O405" s="72"/>
      <c r="P405" s="73"/>
      <c r="Q405" s="73"/>
      <c r="R405" s="94"/>
      <c r="S405" s="45">
        <v>1</v>
      </c>
      <c r="T405" s="45">
        <v>1</v>
      </c>
      <c r="U405" s="46">
        <v>0</v>
      </c>
      <c r="V405" s="46">
        <v>0</v>
      </c>
      <c r="W405" s="46">
        <v>0</v>
      </c>
      <c r="X405" s="46">
        <v>0.002358</v>
      </c>
      <c r="Y405" s="46">
        <v>0</v>
      </c>
      <c r="Z405" s="46">
        <v>0</v>
      </c>
      <c r="AA405" s="68">
        <v>405</v>
      </c>
      <c r="AB405" s="68"/>
      <c r="AC405" s="69"/>
      <c r="AD405" s="83" t="s">
        <v>1906</v>
      </c>
      <c r="AE405" s="83" t="s">
        <v>2065</v>
      </c>
      <c r="AF405" s="83"/>
      <c r="AG405" s="83"/>
      <c r="AH405" s="83"/>
      <c r="AI405" s="83" t="s">
        <v>2483</v>
      </c>
      <c r="AJ405" s="83" t="s">
        <v>2732</v>
      </c>
      <c r="AK405" s="89" t="str">
        <f>HYPERLINK("https://yt3.ggpht.com/ytc/AGIKgqNKwteb_bvBpj2jWsqJW3fPOpchqyHTgSw6GA=s88-c-k-c0x00ffffff-no-rj")</f>
        <v>https://yt3.ggpht.com/ytc/AGIKgqNKwteb_bvBpj2jWsqJW3fPOpchqyHTgSw6GA=s88-c-k-c0x00ffffff-no-rj</v>
      </c>
      <c r="AL405" s="83">
        <v>831</v>
      </c>
      <c r="AM405" s="83">
        <v>0</v>
      </c>
      <c r="AN405" s="83">
        <v>16</v>
      </c>
      <c r="AO405" s="83" t="b">
        <v>0</v>
      </c>
      <c r="AP405" s="83">
        <v>64</v>
      </c>
      <c r="AQ405" s="83"/>
      <c r="AR405" s="83"/>
      <c r="AS405" s="83" t="s">
        <v>2744</v>
      </c>
      <c r="AT405" s="89" t="str">
        <f>HYPERLINK("https://www.youtube.com/channel/UChhaV9Ahi8prmSbspMGOiYA")</f>
        <v>https://www.youtube.com/channel/UChhaV9Ahi8prmSbspMGOiYA</v>
      </c>
      <c r="AU405" s="83" t="str">
        <f>REPLACE(INDEX(GroupVertices[Group],MATCH(Vertices[[#This Row],[Vertex]],GroupVertices[Vertex],0)),1,1,"")</f>
        <v>6</v>
      </c>
      <c r="AV405" s="45"/>
      <c r="AW405" s="46"/>
      <c r="AX405" s="45"/>
      <c r="AY405" s="46"/>
      <c r="AZ405" s="45"/>
      <c r="BA405" s="46"/>
      <c r="BB405" s="45"/>
      <c r="BC405" s="46"/>
      <c r="BD405" s="45"/>
      <c r="BE405" s="110" t="s">
        <v>1874</v>
      </c>
      <c r="BF405" s="110" t="s">
        <v>1874</v>
      </c>
      <c r="BG405" s="110" t="s">
        <v>1874</v>
      </c>
      <c r="BH405" s="110" t="s">
        <v>1874</v>
      </c>
      <c r="BI405" s="2"/>
    </row>
    <row r="406" spans="1:61" ht="15">
      <c r="A406" s="61" t="s">
        <v>610</v>
      </c>
      <c r="B406" s="62" t="s">
        <v>2893</v>
      </c>
      <c r="C406" s="62"/>
      <c r="D406" s="63">
        <v>108.91089108910892</v>
      </c>
      <c r="E406" s="65">
        <v>56.25</v>
      </c>
      <c r="F406" s="100" t="str">
        <f>HYPERLINK("https://yt3.ggpht.com/ytc/AGIKgqOWmE60KtyL-z-VDwHoJ1SFpf0xhxzr7wpQpsup=s88-c-k-c0x00ffffff-no-rj")</f>
        <v>https://yt3.ggpht.com/ytc/AGIKgqOWmE60KtyL-z-VDwHoJ1SFpf0xhxzr7wpQpsup=s88-c-k-c0x00ffffff-no-rj</v>
      </c>
      <c r="G406" s="62"/>
      <c r="H406" s="66" t="s">
        <v>1907</v>
      </c>
      <c r="I406" s="67"/>
      <c r="J406" s="67" t="s">
        <v>159</v>
      </c>
      <c r="K406" s="66" t="s">
        <v>1907</v>
      </c>
      <c r="L406" s="70"/>
      <c r="M406" s="71">
        <v>6109.76123046875</v>
      </c>
      <c r="N406" s="71">
        <v>2581.202392578125</v>
      </c>
      <c r="O406" s="72"/>
      <c r="P406" s="73"/>
      <c r="Q406" s="73"/>
      <c r="R406" s="94"/>
      <c r="S406" s="45">
        <v>1</v>
      </c>
      <c r="T406" s="45">
        <v>1</v>
      </c>
      <c r="U406" s="46">
        <v>0</v>
      </c>
      <c r="V406" s="46">
        <v>0</v>
      </c>
      <c r="W406" s="46">
        <v>0</v>
      </c>
      <c r="X406" s="46">
        <v>0.002358</v>
      </c>
      <c r="Y406" s="46">
        <v>0</v>
      </c>
      <c r="Z406" s="46">
        <v>0</v>
      </c>
      <c r="AA406" s="68">
        <v>406</v>
      </c>
      <c r="AB406" s="68"/>
      <c r="AC406" s="69"/>
      <c r="AD406" s="83" t="s">
        <v>1907</v>
      </c>
      <c r="AE406" s="83" t="s">
        <v>2066</v>
      </c>
      <c r="AF406" s="83"/>
      <c r="AG406" s="83"/>
      <c r="AH406" s="83"/>
      <c r="AI406" s="83" t="s">
        <v>2484</v>
      </c>
      <c r="AJ406" s="92">
        <v>40277.95777777778</v>
      </c>
      <c r="AK406" s="89" t="str">
        <f>HYPERLINK("https://yt3.ggpht.com/ytc/AGIKgqOWmE60KtyL-z-VDwHoJ1SFpf0xhxzr7wpQpsup=s88-c-k-c0x00ffffff-no-rj")</f>
        <v>https://yt3.ggpht.com/ytc/AGIKgqOWmE60KtyL-z-VDwHoJ1SFpf0xhxzr7wpQpsup=s88-c-k-c0x00ffffff-no-rj</v>
      </c>
      <c r="AL406" s="83">
        <v>4349141</v>
      </c>
      <c r="AM406" s="83">
        <v>0</v>
      </c>
      <c r="AN406" s="83">
        <v>9300</v>
      </c>
      <c r="AO406" s="83" t="b">
        <v>0</v>
      </c>
      <c r="AP406" s="83">
        <v>1266</v>
      </c>
      <c r="AQ406" s="83"/>
      <c r="AR406" s="83"/>
      <c r="AS406" s="83" t="s">
        <v>2744</v>
      </c>
      <c r="AT406" s="89" t="str">
        <f>HYPERLINK("https://www.youtube.com/channel/UCy3OKq9-HIQ38abNvIZhwvQ")</f>
        <v>https://www.youtube.com/channel/UCy3OKq9-HIQ38abNvIZhwvQ</v>
      </c>
      <c r="AU406" s="83" t="str">
        <f>REPLACE(INDEX(GroupVertices[Group],MATCH(Vertices[[#This Row],[Vertex]],GroupVertices[Vertex],0)),1,1,"")</f>
        <v>6</v>
      </c>
      <c r="AV406" s="45"/>
      <c r="AW406" s="46"/>
      <c r="AX406" s="45"/>
      <c r="AY406" s="46"/>
      <c r="AZ406" s="45"/>
      <c r="BA406" s="46"/>
      <c r="BB406" s="45"/>
      <c r="BC406" s="46"/>
      <c r="BD406" s="45"/>
      <c r="BE406" s="110" t="s">
        <v>1874</v>
      </c>
      <c r="BF406" s="110" t="s">
        <v>1874</v>
      </c>
      <c r="BG406" s="110" t="s">
        <v>1874</v>
      </c>
      <c r="BH406" s="110" t="s">
        <v>1874</v>
      </c>
      <c r="BI406" s="2"/>
    </row>
    <row r="407" spans="1:61" ht="15">
      <c r="A407" s="61" t="s">
        <v>611</v>
      </c>
      <c r="B407" s="62" t="s">
        <v>2893</v>
      </c>
      <c r="C407" s="62"/>
      <c r="D407" s="63">
        <v>108.91089108910892</v>
      </c>
      <c r="E407" s="65">
        <v>56.25</v>
      </c>
      <c r="F407" s="100" t="str">
        <f>HYPERLINK("https://yt3.ggpht.com/ytc/AGIKgqNT2wlLo5B7iZM9U0b0lDsrt-BrOHxRanU3i4kPUQ=s88-c-k-c0x00ffffff-no-rj")</f>
        <v>https://yt3.ggpht.com/ytc/AGIKgqNT2wlLo5B7iZM9U0b0lDsrt-BrOHxRanU3i4kPUQ=s88-c-k-c0x00ffffff-no-rj</v>
      </c>
      <c r="G407" s="62"/>
      <c r="H407" s="66" t="s">
        <v>1908</v>
      </c>
      <c r="I407" s="67"/>
      <c r="J407" s="67" t="s">
        <v>159</v>
      </c>
      <c r="K407" s="66" t="s">
        <v>1908</v>
      </c>
      <c r="L407" s="70"/>
      <c r="M407" s="71">
        <v>6431.5380859375</v>
      </c>
      <c r="N407" s="71">
        <v>2581.202392578125</v>
      </c>
      <c r="O407" s="72"/>
      <c r="P407" s="73"/>
      <c r="Q407" s="73"/>
      <c r="R407" s="94"/>
      <c r="S407" s="45">
        <v>1</v>
      </c>
      <c r="T407" s="45">
        <v>1</v>
      </c>
      <c r="U407" s="46">
        <v>0</v>
      </c>
      <c r="V407" s="46">
        <v>0</v>
      </c>
      <c r="W407" s="46">
        <v>0</v>
      </c>
      <c r="X407" s="46">
        <v>0.002358</v>
      </c>
      <c r="Y407" s="46">
        <v>0</v>
      </c>
      <c r="Z407" s="46">
        <v>0</v>
      </c>
      <c r="AA407" s="68">
        <v>407</v>
      </c>
      <c r="AB407" s="68"/>
      <c r="AC407" s="69"/>
      <c r="AD407" s="83" t="s">
        <v>1908</v>
      </c>
      <c r="AE407" s="83"/>
      <c r="AF407" s="83"/>
      <c r="AG407" s="83"/>
      <c r="AH407" s="83"/>
      <c r="AI407" s="83" t="s">
        <v>2485</v>
      </c>
      <c r="AJ407" s="92">
        <v>42686.83011574074</v>
      </c>
      <c r="AK407" s="89" t="str">
        <f>HYPERLINK("https://yt3.ggpht.com/ytc/AGIKgqNT2wlLo5B7iZM9U0b0lDsrt-BrOHxRanU3i4kPUQ=s88-c-k-c0x00ffffff-no-rj")</f>
        <v>https://yt3.ggpht.com/ytc/AGIKgqNT2wlLo5B7iZM9U0b0lDsrt-BrOHxRanU3i4kPUQ=s88-c-k-c0x00ffffff-no-rj</v>
      </c>
      <c r="AL407" s="83">
        <v>63057</v>
      </c>
      <c r="AM407" s="83">
        <v>0</v>
      </c>
      <c r="AN407" s="83">
        <v>482</v>
      </c>
      <c r="AO407" s="83" t="b">
        <v>0</v>
      </c>
      <c r="AP407" s="83">
        <v>63</v>
      </c>
      <c r="AQ407" s="83"/>
      <c r="AR407" s="83"/>
      <c r="AS407" s="83" t="s">
        <v>2744</v>
      </c>
      <c r="AT407" s="89" t="str">
        <f>HYPERLINK("https://www.youtube.com/channel/UC3t9Q7aKFS8eUOwQAxlcD-A")</f>
        <v>https://www.youtube.com/channel/UC3t9Q7aKFS8eUOwQAxlcD-A</v>
      </c>
      <c r="AU407" s="83" t="str">
        <f>REPLACE(INDEX(GroupVertices[Group],MATCH(Vertices[[#This Row],[Vertex]],GroupVertices[Vertex],0)),1,1,"")</f>
        <v>6</v>
      </c>
      <c r="AV407" s="45"/>
      <c r="AW407" s="46"/>
      <c r="AX407" s="45"/>
      <c r="AY407" s="46"/>
      <c r="AZ407" s="45"/>
      <c r="BA407" s="46"/>
      <c r="BB407" s="45"/>
      <c r="BC407" s="46"/>
      <c r="BD407" s="45"/>
      <c r="BE407" s="110" t="s">
        <v>1874</v>
      </c>
      <c r="BF407" s="110" t="s">
        <v>1874</v>
      </c>
      <c r="BG407" s="110" t="s">
        <v>1874</v>
      </c>
      <c r="BH407" s="110" t="s">
        <v>1874</v>
      </c>
      <c r="BI407" s="2"/>
    </row>
    <row r="408" spans="1:61" ht="15">
      <c r="A408" s="61" t="s">
        <v>612</v>
      </c>
      <c r="B408" s="62" t="s">
        <v>2893</v>
      </c>
      <c r="C408" s="62"/>
      <c r="D408" s="63">
        <v>108.91089108910892</v>
      </c>
      <c r="E408" s="65">
        <v>56.25</v>
      </c>
      <c r="F408" s="100" t="str">
        <f>HYPERLINK("https://yt3.ggpht.com/ytc/AGIKgqNotWjIXFhtG-idw1ct1BGPJQ7lgF5etxImZiXs=s88-c-k-c0x00ffffff-no-rj")</f>
        <v>https://yt3.ggpht.com/ytc/AGIKgqNotWjIXFhtG-idw1ct1BGPJQ7lgF5etxImZiXs=s88-c-k-c0x00ffffff-no-rj</v>
      </c>
      <c r="G408" s="62"/>
      <c r="H408" s="66" t="s">
        <v>1909</v>
      </c>
      <c r="I408" s="67"/>
      <c r="J408" s="67" t="s">
        <v>159</v>
      </c>
      <c r="K408" s="66" t="s">
        <v>1909</v>
      </c>
      <c r="L408" s="70"/>
      <c r="M408" s="71">
        <v>6753.31396484375</v>
      </c>
      <c r="N408" s="71">
        <v>2581.202392578125</v>
      </c>
      <c r="O408" s="72"/>
      <c r="P408" s="73"/>
      <c r="Q408" s="73"/>
      <c r="R408" s="94"/>
      <c r="S408" s="45">
        <v>1</v>
      </c>
      <c r="T408" s="45">
        <v>1</v>
      </c>
      <c r="U408" s="46">
        <v>0</v>
      </c>
      <c r="V408" s="46">
        <v>0</v>
      </c>
      <c r="W408" s="46">
        <v>0</v>
      </c>
      <c r="X408" s="46">
        <v>0.002358</v>
      </c>
      <c r="Y408" s="46">
        <v>0</v>
      </c>
      <c r="Z408" s="46">
        <v>0</v>
      </c>
      <c r="AA408" s="68">
        <v>408</v>
      </c>
      <c r="AB408" s="68"/>
      <c r="AC408" s="69"/>
      <c r="AD408" s="83" t="s">
        <v>1909</v>
      </c>
      <c r="AE408" s="83" t="s">
        <v>2067</v>
      </c>
      <c r="AF408" s="83"/>
      <c r="AG408" s="83"/>
      <c r="AH408" s="83"/>
      <c r="AI408" s="83" t="s">
        <v>2486</v>
      </c>
      <c r="AJ408" s="92">
        <v>42587.67685185185</v>
      </c>
      <c r="AK408" s="89" t="str">
        <f>HYPERLINK("https://yt3.ggpht.com/ytc/AGIKgqNotWjIXFhtG-idw1ct1BGPJQ7lgF5etxImZiXs=s88-c-k-c0x00ffffff-no-rj")</f>
        <v>https://yt3.ggpht.com/ytc/AGIKgqNotWjIXFhtG-idw1ct1BGPJQ7lgF5etxImZiXs=s88-c-k-c0x00ffffff-no-rj</v>
      </c>
      <c r="AL408" s="83">
        <v>931</v>
      </c>
      <c r="AM408" s="83">
        <v>0</v>
      </c>
      <c r="AN408" s="83">
        <v>6</v>
      </c>
      <c r="AO408" s="83" t="b">
        <v>0</v>
      </c>
      <c r="AP408" s="83">
        <v>61</v>
      </c>
      <c r="AQ408" s="83"/>
      <c r="AR408" s="83"/>
      <c r="AS408" s="83" t="s">
        <v>2744</v>
      </c>
      <c r="AT408" s="89" t="str">
        <f>HYPERLINK("https://www.youtube.com/channel/UCKLWeNzsJJkMMOmV2D5efFQ")</f>
        <v>https://www.youtube.com/channel/UCKLWeNzsJJkMMOmV2D5efFQ</v>
      </c>
      <c r="AU408" s="83" t="str">
        <f>REPLACE(INDEX(GroupVertices[Group],MATCH(Vertices[[#This Row],[Vertex]],GroupVertices[Vertex],0)),1,1,"")</f>
        <v>6</v>
      </c>
      <c r="AV408" s="45"/>
      <c r="AW408" s="46"/>
      <c r="AX408" s="45"/>
      <c r="AY408" s="46"/>
      <c r="AZ408" s="45"/>
      <c r="BA408" s="46"/>
      <c r="BB408" s="45"/>
      <c r="BC408" s="46"/>
      <c r="BD408" s="45"/>
      <c r="BE408" s="110" t="s">
        <v>1874</v>
      </c>
      <c r="BF408" s="110" t="s">
        <v>1874</v>
      </c>
      <c r="BG408" s="110" t="s">
        <v>1874</v>
      </c>
      <c r="BH408" s="110" t="s">
        <v>1874</v>
      </c>
      <c r="BI408" s="2"/>
    </row>
    <row r="409" spans="1:61" ht="15">
      <c r="A409" s="61" t="s">
        <v>613</v>
      </c>
      <c r="B409" s="62" t="s">
        <v>2893</v>
      </c>
      <c r="C409" s="62"/>
      <c r="D409" s="63">
        <v>108.91089108910892</v>
      </c>
      <c r="E409" s="65">
        <v>56.25</v>
      </c>
      <c r="F409" s="100" t="str">
        <f>HYPERLINK("https://yt3.ggpht.com/AZ_sA5rIJ8v4qPy2vhy1cjvSYI7BMtVhDeNe5k9a8icbAHzXdTcV-cSSVAmu4A_kyF3wmnPS=s88-c-k-c0x00ffffff-no-rj")</f>
        <v>https://yt3.ggpht.com/AZ_sA5rIJ8v4qPy2vhy1cjvSYI7BMtVhDeNe5k9a8icbAHzXdTcV-cSSVAmu4A_kyF3wmnPS=s88-c-k-c0x00ffffff-no-rj</v>
      </c>
      <c r="G409" s="62"/>
      <c r="H409" s="66" t="s">
        <v>1910</v>
      </c>
      <c r="I409" s="67"/>
      <c r="J409" s="67" t="s">
        <v>159</v>
      </c>
      <c r="K409" s="66" t="s">
        <v>1910</v>
      </c>
      <c r="L409" s="70"/>
      <c r="M409" s="71">
        <v>5466.208984375</v>
      </c>
      <c r="N409" s="71">
        <v>2070.01806640625</v>
      </c>
      <c r="O409" s="72"/>
      <c r="P409" s="73"/>
      <c r="Q409" s="73"/>
      <c r="R409" s="94"/>
      <c r="S409" s="45">
        <v>1</v>
      </c>
      <c r="T409" s="45">
        <v>1</v>
      </c>
      <c r="U409" s="46">
        <v>0</v>
      </c>
      <c r="V409" s="46">
        <v>0</v>
      </c>
      <c r="W409" s="46">
        <v>0</v>
      </c>
      <c r="X409" s="46">
        <v>0.002358</v>
      </c>
      <c r="Y409" s="46">
        <v>0</v>
      </c>
      <c r="Z409" s="46">
        <v>0</v>
      </c>
      <c r="AA409" s="68">
        <v>409</v>
      </c>
      <c r="AB409" s="68"/>
      <c r="AC409" s="69"/>
      <c r="AD409" s="83" t="s">
        <v>1910</v>
      </c>
      <c r="AE409" s="83" t="s">
        <v>2068</v>
      </c>
      <c r="AF409" s="83"/>
      <c r="AG409" s="83"/>
      <c r="AH409" s="83"/>
      <c r="AI409" s="83" t="s">
        <v>2487</v>
      </c>
      <c r="AJ409" s="83" t="s">
        <v>2733</v>
      </c>
      <c r="AK409" s="89" t="str">
        <f>HYPERLINK("https://yt3.ggpht.com/AZ_sA5rIJ8v4qPy2vhy1cjvSYI7BMtVhDeNe5k9a8icbAHzXdTcV-cSSVAmu4A_kyF3wmnPS=s88-c-k-c0x00ffffff-no-rj")</f>
        <v>https://yt3.ggpht.com/AZ_sA5rIJ8v4qPy2vhy1cjvSYI7BMtVhDeNe5k9a8icbAHzXdTcV-cSSVAmu4A_kyF3wmnPS=s88-c-k-c0x00ffffff-no-rj</v>
      </c>
      <c r="AL409" s="83">
        <v>47</v>
      </c>
      <c r="AM409" s="83">
        <v>0</v>
      </c>
      <c r="AN409" s="83">
        <v>8</v>
      </c>
      <c r="AO409" s="83" t="b">
        <v>0</v>
      </c>
      <c r="AP409" s="83">
        <v>1</v>
      </c>
      <c r="AQ409" s="83"/>
      <c r="AR409" s="83"/>
      <c r="AS409" s="83" t="s">
        <v>2744</v>
      </c>
      <c r="AT409" s="89" t="str">
        <f>HYPERLINK("https://www.youtube.com/channel/UChI9HQZPc2SO9wM8cEgLDXg")</f>
        <v>https://www.youtube.com/channel/UChI9HQZPc2SO9wM8cEgLDXg</v>
      </c>
      <c r="AU409" s="83" t="str">
        <f>REPLACE(INDEX(GroupVertices[Group],MATCH(Vertices[[#This Row],[Vertex]],GroupVertices[Vertex],0)),1,1,"")</f>
        <v>6</v>
      </c>
      <c r="AV409" s="45"/>
      <c r="AW409" s="46"/>
      <c r="AX409" s="45"/>
      <c r="AY409" s="46"/>
      <c r="AZ409" s="45"/>
      <c r="BA409" s="46"/>
      <c r="BB409" s="45"/>
      <c r="BC409" s="46"/>
      <c r="BD409" s="45"/>
      <c r="BE409" s="110" t="s">
        <v>1874</v>
      </c>
      <c r="BF409" s="110" t="s">
        <v>1874</v>
      </c>
      <c r="BG409" s="110" t="s">
        <v>1874</v>
      </c>
      <c r="BH409" s="110" t="s">
        <v>1874</v>
      </c>
      <c r="BI409" s="2"/>
    </row>
    <row r="410" spans="1:61" ht="15">
      <c r="A410" s="61" t="s">
        <v>615</v>
      </c>
      <c r="B410" s="62" t="s">
        <v>2893</v>
      </c>
      <c r="C410" s="62"/>
      <c r="D410" s="63">
        <v>108.91089108910892</v>
      </c>
      <c r="E410" s="65">
        <v>56.25</v>
      </c>
      <c r="F410" s="100" t="str">
        <f>HYPERLINK("https://yt3.ggpht.com/YKe2ccMYNs9ux2nGVSAQLhQDSon6-6iMryUZhzQg_6shaQRUQ3lxuYOsGoYBFHadjnQvZL4-cQ=s88-c-k-c0x00ffffff-no-rj")</f>
        <v>https://yt3.ggpht.com/YKe2ccMYNs9ux2nGVSAQLhQDSon6-6iMryUZhzQg_6shaQRUQ3lxuYOsGoYBFHadjnQvZL4-cQ=s88-c-k-c0x00ffffff-no-rj</v>
      </c>
      <c r="G410" s="62"/>
      <c r="H410" s="66" t="s">
        <v>1911</v>
      </c>
      <c r="I410" s="67"/>
      <c r="J410" s="67" t="s">
        <v>159</v>
      </c>
      <c r="K410" s="66" t="s">
        <v>1911</v>
      </c>
      <c r="L410" s="70"/>
      <c r="M410" s="71">
        <v>5787.98486328125</v>
      </c>
      <c r="N410" s="71">
        <v>2070.01806640625</v>
      </c>
      <c r="O410" s="72"/>
      <c r="P410" s="73"/>
      <c r="Q410" s="73"/>
      <c r="R410" s="94"/>
      <c r="S410" s="45">
        <v>1</v>
      </c>
      <c r="T410" s="45">
        <v>1</v>
      </c>
      <c r="U410" s="46">
        <v>0</v>
      </c>
      <c r="V410" s="46">
        <v>0</v>
      </c>
      <c r="W410" s="46">
        <v>0</v>
      </c>
      <c r="X410" s="46">
        <v>0.002358</v>
      </c>
      <c r="Y410" s="46">
        <v>0</v>
      </c>
      <c r="Z410" s="46">
        <v>0</v>
      </c>
      <c r="AA410" s="68">
        <v>410</v>
      </c>
      <c r="AB410" s="68"/>
      <c r="AC410" s="69"/>
      <c r="AD410" s="83" t="s">
        <v>1911</v>
      </c>
      <c r="AE410" s="83"/>
      <c r="AF410" s="83"/>
      <c r="AG410" s="83"/>
      <c r="AH410" s="83"/>
      <c r="AI410" s="83" t="s">
        <v>2488</v>
      </c>
      <c r="AJ410" s="83" t="s">
        <v>2734</v>
      </c>
      <c r="AK410" s="89" t="str">
        <f>HYPERLINK("https://yt3.ggpht.com/YKe2ccMYNs9ux2nGVSAQLhQDSon6-6iMryUZhzQg_6shaQRUQ3lxuYOsGoYBFHadjnQvZL4-cQ=s88-c-k-c0x00ffffff-no-rj")</f>
        <v>https://yt3.ggpht.com/YKe2ccMYNs9ux2nGVSAQLhQDSon6-6iMryUZhzQg_6shaQRUQ3lxuYOsGoYBFHadjnQvZL4-cQ=s88-c-k-c0x00ffffff-no-rj</v>
      </c>
      <c r="AL410" s="83">
        <v>12955</v>
      </c>
      <c r="AM410" s="83">
        <v>0</v>
      </c>
      <c r="AN410" s="83">
        <v>46</v>
      </c>
      <c r="AO410" s="83" t="b">
        <v>0</v>
      </c>
      <c r="AP410" s="83">
        <v>29</v>
      </c>
      <c r="AQ410" s="83"/>
      <c r="AR410" s="83"/>
      <c r="AS410" s="83" t="s">
        <v>2744</v>
      </c>
      <c r="AT410" s="89" t="str">
        <f>HYPERLINK("https://www.youtube.com/channel/UCVLuOtc2MoBRxlJceAdg_2Q")</f>
        <v>https://www.youtube.com/channel/UCVLuOtc2MoBRxlJceAdg_2Q</v>
      </c>
      <c r="AU410" s="83" t="str">
        <f>REPLACE(INDEX(GroupVertices[Group],MATCH(Vertices[[#This Row],[Vertex]],GroupVertices[Vertex],0)),1,1,"")</f>
        <v>6</v>
      </c>
      <c r="AV410" s="45"/>
      <c r="AW410" s="46"/>
      <c r="AX410" s="45"/>
      <c r="AY410" s="46"/>
      <c r="AZ410" s="45"/>
      <c r="BA410" s="46"/>
      <c r="BB410" s="45"/>
      <c r="BC410" s="46"/>
      <c r="BD410" s="45"/>
      <c r="BE410" s="110" t="s">
        <v>1874</v>
      </c>
      <c r="BF410" s="110" t="s">
        <v>1874</v>
      </c>
      <c r="BG410" s="110" t="s">
        <v>1874</v>
      </c>
      <c r="BH410" s="110" t="s">
        <v>1874</v>
      </c>
      <c r="BI410" s="2"/>
    </row>
    <row r="411" spans="1:61" ht="15">
      <c r="A411" s="61" t="s">
        <v>616</v>
      </c>
      <c r="B411" s="62" t="s">
        <v>2893</v>
      </c>
      <c r="C411" s="62"/>
      <c r="D411" s="63">
        <v>108.91089108910892</v>
      </c>
      <c r="E411" s="65">
        <v>56.25</v>
      </c>
      <c r="F411" s="100" t="str">
        <f>HYPERLINK("https://yt3.ggpht.com/JdWwexSqbnyrlOj2EG4fGaCC0KxXMytAIze7HnUdtyAtMPEJ5njUkhR7NtknsGbVDVUZDznH=s88-c-k-c0x00ffffff-no-rj")</f>
        <v>https://yt3.ggpht.com/JdWwexSqbnyrlOj2EG4fGaCC0KxXMytAIze7HnUdtyAtMPEJ5njUkhR7NtknsGbVDVUZDznH=s88-c-k-c0x00ffffff-no-rj</v>
      </c>
      <c r="G411" s="62"/>
      <c r="H411" s="66" t="s">
        <v>1912</v>
      </c>
      <c r="I411" s="67"/>
      <c r="J411" s="67" t="s">
        <v>159</v>
      </c>
      <c r="K411" s="66" t="s">
        <v>1912</v>
      </c>
      <c r="L411" s="70"/>
      <c r="M411" s="71">
        <v>6109.76123046875</v>
      </c>
      <c r="N411" s="71">
        <v>2070.01806640625</v>
      </c>
      <c r="O411" s="72"/>
      <c r="P411" s="73"/>
      <c r="Q411" s="73"/>
      <c r="R411" s="94"/>
      <c r="S411" s="45">
        <v>1</v>
      </c>
      <c r="T411" s="45">
        <v>1</v>
      </c>
      <c r="U411" s="46">
        <v>0</v>
      </c>
      <c r="V411" s="46">
        <v>0</v>
      </c>
      <c r="W411" s="46">
        <v>0</v>
      </c>
      <c r="X411" s="46">
        <v>0.002358</v>
      </c>
      <c r="Y411" s="46">
        <v>0</v>
      </c>
      <c r="Z411" s="46">
        <v>0</v>
      </c>
      <c r="AA411" s="68">
        <v>411</v>
      </c>
      <c r="AB411" s="68"/>
      <c r="AC411" s="69"/>
      <c r="AD411" s="83" t="s">
        <v>1912</v>
      </c>
      <c r="AE411" s="83" t="s">
        <v>2069</v>
      </c>
      <c r="AF411" s="83"/>
      <c r="AG411" s="83"/>
      <c r="AH411" s="83"/>
      <c r="AI411" s="83" t="s">
        <v>2489</v>
      </c>
      <c r="AJ411" s="92">
        <v>40763.460648148146</v>
      </c>
      <c r="AK411" s="89" t="str">
        <f>HYPERLINK("https://yt3.ggpht.com/JdWwexSqbnyrlOj2EG4fGaCC0KxXMytAIze7HnUdtyAtMPEJ5njUkhR7NtknsGbVDVUZDznH=s88-c-k-c0x00ffffff-no-rj")</f>
        <v>https://yt3.ggpht.com/JdWwexSqbnyrlOj2EG4fGaCC0KxXMytAIze7HnUdtyAtMPEJ5njUkhR7NtknsGbVDVUZDznH=s88-c-k-c0x00ffffff-no-rj</v>
      </c>
      <c r="AL411" s="83">
        <v>1563412</v>
      </c>
      <c r="AM411" s="83">
        <v>0</v>
      </c>
      <c r="AN411" s="83">
        <v>2530</v>
      </c>
      <c r="AO411" s="83" t="b">
        <v>0</v>
      </c>
      <c r="AP411" s="83">
        <v>236</v>
      </c>
      <c r="AQ411" s="83"/>
      <c r="AR411" s="83"/>
      <c r="AS411" s="83" t="s">
        <v>2744</v>
      </c>
      <c r="AT411" s="89" t="str">
        <f>HYPERLINK("https://www.youtube.com/channel/UCR65SzNDtLRn1DJE1fm-X9Q")</f>
        <v>https://www.youtube.com/channel/UCR65SzNDtLRn1DJE1fm-X9Q</v>
      </c>
      <c r="AU411" s="83" t="str">
        <f>REPLACE(INDEX(GroupVertices[Group],MATCH(Vertices[[#This Row],[Vertex]],GroupVertices[Vertex],0)),1,1,"")</f>
        <v>6</v>
      </c>
      <c r="AV411" s="45"/>
      <c r="AW411" s="46"/>
      <c r="AX411" s="45"/>
      <c r="AY411" s="46"/>
      <c r="AZ411" s="45"/>
      <c r="BA411" s="46"/>
      <c r="BB411" s="45"/>
      <c r="BC411" s="46"/>
      <c r="BD411" s="45"/>
      <c r="BE411" s="110" t="s">
        <v>1874</v>
      </c>
      <c r="BF411" s="110" t="s">
        <v>1874</v>
      </c>
      <c r="BG411" s="110" t="s">
        <v>1874</v>
      </c>
      <c r="BH411" s="110" t="s">
        <v>1874</v>
      </c>
      <c r="BI411" s="2"/>
    </row>
    <row r="412" spans="1:61" ht="15">
      <c r="A412" s="61" t="s">
        <v>617</v>
      </c>
      <c r="B412" s="62" t="s">
        <v>2893</v>
      </c>
      <c r="C412" s="62"/>
      <c r="D412" s="63">
        <v>108.91089108910892</v>
      </c>
      <c r="E412" s="65">
        <v>56.25</v>
      </c>
      <c r="F412" s="100" t="str">
        <f>HYPERLINK("https://yt3.ggpht.com/oH82Tdqqz5cJpvlTiDpwm7taUXnMiiTOpWEe9bLLw93Jd4e5_JPXq6u7vZX4lMPdSUiuWDNxXQ=s88-c-k-c0x00ffffff-no-rj")</f>
        <v>https://yt3.ggpht.com/oH82Tdqqz5cJpvlTiDpwm7taUXnMiiTOpWEe9bLLw93Jd4e5_JPXq6u7vZX4lMPdSUiuWDNxXQ=s88-c-k-c0x00ffffff-no-rj</v>
      </c>
      <c r="G412" s="62"/>
      <c r="H412" s="66" t="s">
        <v>1913</v>
      </c>
      <c r="I412" s="67"/>
      <c r="J412" s="67" t="s">
        <v>159</v>
      </c>
      <c r="K412" s="66" t="s">
        <v>1913</v>
      </c>
      <c r="L412" s="70"/>
      <c r="M412" s="71">
        <v>6431.5380859375</v>
      </c>
      <c r="N412" s="71">
        <v>2070.01806640625</v>
      </c>
      <c r="O412" s="72"/>
      <c r="P412" s="73"/>
      <c r="Q412" s="73"/>
      <c r="R412" s="94"/>
      <c r="S412" s="45">
        <v>1</v>
      </c>
      <c r="T412" s="45">
        <v>1</v>
      </c>
      <c r="U412" s="46">
        <v>0</v>
      </c>
      <c r="V412" s="46">
        <v>0</v>
      </c>
      <c r="W412" s="46">
        <v>0</v>
      </c>
      <c r="X412" s="46">
        <v>0.002358</v>
      </c>
      <c r="Y412" s="46">
        <v>0</v>
      </c>
      <c r="Z412" s="46">
        <v>0</v>
      </c>
      <c r="AA412" s="68">
        <v>412</v>
      </c>
      <c r="AB412" s="68"/>
      <c r="AC412" s="69"/>
      <c r="AD412" s="83" t="s">
        <v>1913</v>
      </c>
      <c r="AE412" s="83" t="s">
        <v>2070</v>
      </c>
      <c r="AF412" s="83"/>
      <c r="AG412" s="83"/>
      <c r="AH412" s="83"/>
      <c r="AI412" s="83" t="s">
        <v>2490</v>
      </c>
      <c r="AJ412" s="83" t="s">
        <v>2735</v>
      </c>
      <c r="AK412" s="89" t="str">
        <f>HYPERLINK("https://yt3.ggpht.com/oH82Tdqqz5cJpvlTiDpwm7taUXnMiiTOpWEe9bLLw93Jd4e5_JPXq6u7vZX4lMPdSUiuWDNxXQ=s88-c-k-c0x00ffffff-no-rj")</f>
        <v>https://yt3.ggpht.com/oH82Tdqqz5cJpvlTiDpwm7taUXnMiiTOpWEe9bLLw93Jd4e5_JPXq6u7vZX4lMPdSUiuWDNxXQ=s88-c-k-c0x00ffffff-no-rj</v>
      </c>
      <c r="AL412" s="83">
        <v>47</v>
      </c>
      <c r="AM412" s="83">
        <v>0</v>
      </c>
      <c r="AN412" s="83">
        <v>3</v>
      </c>
      <c r="AO412" s="83" t="b">
        <v>0</v>
      </c>
      <c r="AP412" s="83">
        <v>2</v>
      </c>
      <c r="AQ412" s="83"/>
      <c r="AR412" s="83"/>
      <c r="AS412" s="83" t="s">
        <v>2744</v>
      </c>
      <c r="AT412" s="89" t="str">
        <f>HYPERLINK("https://www.youtube.com/channel/UC5VowwhLAC1mL46iuhwTj7Q")</f>
        <v>https://www.youtube.com/channel/UC5VowwhLAC1mL46iuhwTj7Q</v>
      </c>
      <c r="AU412" s="83" t="str">
        <f>REPLACE(INDEX(GroupVertices[Group],MATCH(Vertices[[#This Row],[Vertex]],GroupVertices[Vertex],0)),1,1,"")</f>
        <v>6</v>
      </c>
      <c r="AV412" s="45"/>
      <c r="AW412" s="46"/>
      <c r="AX412" s="45"/>
      <c r="AY412" s="46"/>
      <c r="AZ412" s="45"/>
      <c r="BA412" s="46"/>
      <c r="BB412" s="45"/>
      <c r="BC412" s="46"/>
      <c r="BD412" s="45"/>
      <c r="BE412" s="110" t="s">
        <v>1874</v>
      </c>
      <c r="BF412" s="110" t="s">
        <v>1874</v>
      </c>
      <c r="BG412" s="110" t="s">
        <v>1874</v>
      </c>
      <c r="BH412" s="110" t="s">
        <v>1874</v>
      </c>
      <c r="BI412" s="2"/>
    </row>
    <row r="413" spans="1:61" ht="15">
      <c r="A413" s="61" t="s">
        <v>618</v>
      </c>
      <c r="B413" s="62" t="s">
        <v>2893</v>
      </c>
      <c r="C413" s="62"/>
      <c r="D413" s="63">
        <v>108.91089108910892</v>
      </c>
      <c r="E413" s="65">
        <v>56.25</v>
      </c>
      <c r="F413" s="100" t="str">
        <f>HYPERLINK("https://yt3.ggpht.com/ytc/AGIKgqMoj7o4rklw839Ddie0G4aJ9hQXoo5zoidLFA=s88-c-k-c0x00ffffff-no-rj")</f>
        <v>https://yt3.ggpht.com/ytc/AGIKgqMoj7o4rklw839Ddie0G4aJ9hQXoo5zoidLFA=s88-c-k-c0x00ffffff-no-rj</v>
      </c>
      <c r="G413" s="62"/>
      <c r="H413" s="66" t="s">
        <v>1914</v>
      </c>
      <c r="I413" s="67"/>
      <c r="J413" s="67" t="s">
        <v>159</v>
      </c>
      <c r="K413" s="66" t="s">
        <v>1914</v>
      </c>
      <c r="L413" s="70"/>
      <c r="M413" s="71">
        <v>6753.31396484375</v>
      </c>
      <c r="N413" s="71">
        <v>2070.01806640625</v>
      </c>
      <c r="O413" s="72"/>
      <c r="P413" s="73"/>
      <c r="Q413" s="73"/>
      <c r="R413" s="94"/>
      <c r="S413" s="45">
        <v>1</v>
      </c>
      <c r="T413" s="45">
        <v>1</v>
      </c>
      <c r="U413" s="46">
        <v>0</v>
      </c>
      <c r="V413" s="46">
        <v>0</v>
      </c>
      <c r="W413" s="46">
        <v>0</v>
      </c>
      <c r="X413" s="46">
        <v>0.002358</v>
      </c>
      <c r="Y413" s="46">
        <v>0</v>
      </c>
      <c r="Z413" s="46">
        <v>0</v>
      </c>
      <c r="AA413" s="68">
        <v>413</v>
      </c>
      <c r="AB413" s="68"/>
      <c r="AC413" s="69"/>
      <c r="AD413" s="83" t="s">
        <v>1914</v>
      </c>
      <c r="AE413" s="83" t="s">
        <v>2071</v>
      </c>
      <c r="AF413" s="83"/>
      <c r="AG413" s="83"/>
      <c r="AH413" s="83"/>
      <c r="AI413" s="83" t="s">
        <v>2491</v>
      </c>
      <c r="AJ413" s="83" t="s">
        <v>2736</v>
      </c>
      <c r="AK413" s="89" t="str">
        <f>HYPERLINK("https://yt3.ggpht.com/ytc/AGIKgqMoj7o4rklw839Ddie0G4aJ9hQXoo5zoidLFA=s88-c-k-c0x00ffffff-no-rj")</f>
        <v>https://yt3.ggpht.com/ytc/AGIKgqMoj7o4rklw839Ddie0G4aJ9hQXoo5zoidLFA=s88-c-k-c0x00ffffff-no-rj</v>
      </c>
      <c r="AL413" s="83">
        <v>73660</v>
      </c>
      <c r="AM413" s="83">
        <v>0</v>
      </c>
      <c r="AN413" s="83">
        <v>83</v>
      </c>
      <c r="AO413" s="83" t="b">
        <v>0</v>
      </c>
      <c r="AP413" s="83">
        <v>102</v>
      </c>
      <c r="AQ413" s="83"/>
      <c r="AR413" s="83"/>
      <c r="AS413" s="83" t="s">
        <v>2744</v>
      </c>
      <c r="AT413" s="89" t="str">
        <f>HYPERLINK("https://www.youtube.com/channel/UCCr93i5bh_mChh8ePaxppww")</f>
        <v>https://www.youtube.com/channel/UCCr93i5bh_mChh8ePaxppww</v>
      </c>
      <c r="AU413" s="83" t="str">
        <f>REPLACE(INDEX(GroupVertices[Group],MATCH(Vertices[[#This Row],[Vertex]],GroupVertices[Vertex],0)),1,1,"")</f>
        <v>6</v>
      </c>
      <c r="AV413" s="45"/>
      <c r="AW413" s="46"/>
      <c r="AX413" s="45"/>
      <c r="AY413" s="46"/>
      <c r="AZ413" s="45"/>
      <c r="BA413" s="46"/>
      <c r="BB413" s="45"/>
      <c r="BC413" s="46"/>
      <c r="BD413" s="45"/>
      <c r="BE413" s="110" t="s">
        <v>1874</v>
      </c>
      <c r="BF413" s="110" t="s">
        <v>1874</v>
      </c>
      <c r="BG413" s="110" t="s">
        <v>1874</v>
      </c>
      <c r="BH413" s="110" t="s">
        <v>1874</v>
      </c>
      <c r="BI413" s="2"/>
    </row>
    <row r="414" spans="1:61" ht="15">
      <c r="A414" s="61" t="s">
        <v>620</v>
      </c>
      <c r="B414" s="62" t="s">
        <v>2893</v>
      </c>
      <c r="C414" s="62"/>
      <c r="D414" s="63">
        <v>108.91089108910892</v>
      </c>
      <c r="E414" s="65">
        <v>56.25</v>
      </c>
      <c r="F414" s="100" t="str">
        <f>HYPERLINK("https://yt3.ggpht.com/ytc/AGIKgqPaHwpXlcqLe0kKiFs_B6XdaKVFflQSRwDWtOwF=s88-c-k-c0x00ffffff-no-rj")</f>
        <v>https://yt3.ggpht.com/ytc/AGIKgqPaHwpXlcqLe0kKiFs_B6XdaKVFflQSRwDWtOwF=s88-c-k-c0x00ffffff-no-rj</v>
      </c>
      <c r="G414" s="62"/>
      <c r="H414" s="66" t="s">
        <v>1915</v>
      </c>
      <c r="I414" s="67"/>
      <c r="J414" s="67" t="s">
        <v>159</v>
      </c>
      <c r="K414" s="66" t="s">
        <v>1915</v>
      </c>
      <c r="L414" s="70"/>
      <c r="M414" s="71">
        <v>5466.208984375</v>
      </c>
      <c r="N414" s="71">
        <v>1558.8328857421875</v>
      </c>
      <c r="O414" s="72"/>
      <c r="P414" s="73"/>
      <c r="Q414" s="73"/>
      <c r="R414" s="94"/>
      <c r="S414" s="45">
        <v>1</v>
      </c>
      <c r="T414" s="45">
        <v>1</v>
      </c>
      <c r="U414" s="46">
        <v>0</v>
      </c>
      <c r="V414" s="46">
        <v>0</v>
      </c>
      <c r="W414" s="46">
        <v>0</v>
      </c>
      <c r="X414" s="46">
        <v>0.002358</v>
      </c>
      <c r="Y414" s="46">
        <v>0</v>
      </c>
      <c r="Z414" s="46">
        <v>0</v>
      </c>
      <c r="AA414" s="68">
        <v>414</v>
      </c>
      <c r="AB414" s="68"/>
      <c r="AC414" s="69"/>
      <c r="AD414" s="83" t="s">
        <v>1915</v>
      </c>
      <c r="AE414" s="83" t="s">
        <v>2072</v>
      </c>
      <c r="AF414" s="83"/>
      <c r="AG414" s="83"/>
      <c r="AH414" s="83"/>
      <c r="AI414" s="83" t="s">
        <v>2492</v>
      </c>
      <c r="AJ414" s="92">
        <v>42064.679618055554</v>
      </c>
      <c r="AK414" s="89" t="str">
        <f>HYPERLINK("https://yt3.ggpht.com/ytc/AGIKgqPaHwpXlcqLe0kKiFs_B6XdaKVFflQSRwDWtOwF=s88-c-k-c0x00ffffff-no-rj")</f>
        <v>https://yt3.ggpht.com/ytc/AGIKgqPaHwpXlcqLe0kKiFs_B6XdaKVFflQSRwDWtOwF=s88-c-k-c0x00ffffff-no-rj</v>
      </c>
      <c r="AL414" s="83">
        <v>4953</v>
      </c>
      <c r="AM414" s="83">
        <v>0</v>
      </c>
      <c r="AN414" s="83">
        <v>24</v>
      </c>
      <c r="AO414" s="83" t="b">
        <v>0</v>
      </c>
      <c r="AP414" s="83">
        <v>10</v>
      </c>
      <c r="AQ414" s="83"/>
      <c r="AR414" s="83"/>
      <c r="AS414" s="83" t="s">
        <v>2744</v>
      </c>
      <c r="AT414" s="89" t="str">
        <f>HYPERLINK("https://www.youtube.com/channel/UCqOE40p98BTcGK99xKZ7mkA")</f>
        <v>https://www.youtube.com/channel/UCqOE40p98BTcGK99xKZ7mkA</v>
      </c>
      <c r="AU414" s="83" t="str">
        <f>REPLACE(INDEX(GroupVertices[Group],MATCH(Vertices[[#This Row],[Vertex]],GroupVertices[Vertex],0)),1,1,"")</f>
        <v>6</v>
      </c>
      <c r="AV414" s="45"/>
      <c r="AW414" s="46"/>
      <c r="AX414" s="45"/>
      <c r="AY414" s="46"/>
      <c r="AZ414" s="45"/>
      <c r="BA414" s="46"/>
      <c r="BB414" s="45"/>
      <c r="BC414" s="46"/>
      <c r="BD414" s="45"/>
      <c r="BE414" s="110" t="s">
        <v>1874</v>
      </c>
      <c r="BF414" s="110" t="s">
        <v>1874</v>
      </c>
      <c r="BG414" s="110" t="s">
        <v>1874</v>
      </c>
      <c r="BH414" s="110" t="s">
        <v>1874</v>
      </c>
      <c r="BI414" s="2"/>
    </row>
    <row r="415" spans="1:61" ht="15">
      <c r="A415" s="61" t="s">
        <v>621</v>
      </c>
      <c r="B415" s="62" t="s">
        <v>2893</v>
      </c>
      <c r="C415" s="62"/>
      <c r="D415" s="63">
        <v>108.91089108910892</v>
      </c>
      <c r="E415" s="65">
        <v>56.25</v>
      </c>
      <c r="F415" s="100" t="str">
        <f>HYPERLINK("https://yt3.ggpht.com/ytc/AGIKgqPJfQb3dmNfRVQZE3YbLdThcWUO-0QBk5uCtAwgyg=s88-c-k-c0x00ffffff-no-rj")</f>
        <v>https://yt3.ggpht.com/ytc/AGIKgqPJfQb3dmNfRVQZE3YbLdThcWUO-0QBk5uCtAwgyg=s88-c-k-c0x00ffffff-no-rj</v>
      </c>
      <c r="G415" s="62"/>
      <c r="H415" s="66" t="s">
        <v>1916</v>
      </c>
      <c r="I415" s="67"/>
      <c r="J415" s="67" t="s">
        <v>159</v>
      </c>
      <c r="K415" s="66" t="s">
        <v>1916</v>
      </c>
      <c r="L415" s="70"/>
      <c r="M415" s="71">
        <v>5787.98486328125</v>
      </c>
      <c r="N415" s="71">
        <v>1558.8328857421875</v>
      </c>
      <c r="O415" s="72"/>
      <c r="P415" s="73"/>
      <c r="Q415" s="73"/>
      <c r="R415" s="94"/>
      <c r="S415" s="45">
        <v>1</v>
      </c>
      <c r="T415" s="45">
        <v>1</v>
      </c>
      <c r="U415" s="46">
        <v>0</v>
      </c>
      <c r="V415" s="46">
        <v>0</v>
      </c>
      <c r="W415" s="46">
        <v>0</v>
      </c>
      <c r="X415" s="46">
        <v>0.002358</v>
      </c>
      <c r="Y415" s="46">
        <v>0</v>
      </c>
      <c r="Z415" s="46">
        <v>0</v>
      </c>
      <c r="AA415" s="68">
        <v>415</v>
      </c>
      <c r="AB415" s="68"/>
      <c r="AC415" s="69"/>
      <c r="AD415" s="83" t="s">
        <v>1916</v>
      </c>
      <c r="AE415" s="83"/>
      <c r="AF415" s="83"/>
      <c r="AG415" s="83"/>
      <c r="AH415" s="83"/>
      <c r="AI415" s="83" t="s">
        <v>2493</v>
      </c>
      <c r="AJ415" s="92">
        <v>38779.2283912037</v>
      </c>
      <c r="AK415" s="89" t="str">
        <f>HYPERLINK("https://yt3.ggpht.com/ytc/AGIKgqPJfQb3dmNfRVQZE3YbLdThcWUO-0QBk5uCtAwgyg=s88-c-k-c0x00ffffff-no-rj")</f>
        <v>https://yt3.ggpht.com/ytc/AGIKgqPJfQb3dmNfRVQZE3YbLdThcWUO-0QBk5uCtAwgyg=s88-c-k-c0x00ffffff-no-rj</v>
      </c>
      <c r="AL415" s="83">
        <v>60552</v>
      </c>
      <c r="AM415" s="83">
        <v>0</v>
      </c>
      <c r="AN415" s="83">
        <v>63</v>
      </c>
      <c r="AO415" s="83" t="b">
        <v>0</v>
      </c>
      <c r="AP415" s="83">
        <v>119</v>
      </c>
      <c r="AQ415" s="83"/>
      <c r="AR415" s="83"/>
      <c r="AS415" s="83" t="s">
        <v>2744</v>
      </c>
      <c r="AT415" s="89" t="str">
        <f>HYPERLINK("https://www.youtube.com/channel/UCSEkcwttfCEPMpWFNNCnlvg")</f>
        <v>https://www.youtube.com/channel/UCSEkcwttfCEPMpWFNNCnlvg</v>
      </c>
      <c r="AU415" s="83" t="str">
        <f>REPLACE(INDEX(GroupVertices[Group],MATCH(Vertices[[#This Row],[Vertex]],GroupVertices[Vertex],0)),1,1,"")</f>
        <v>6</v>
      </c>
      <c r="AV415" s="45"/>
      <c r="AW415" s="46"/>
      <c r="AX415" s="45"/>
      <c r="AY415" s="46"/>
      <c r="AZ415" s="45"/>
      <c r="BA415" s="46"/>
      <c r="BB415" s="45"/>
      <c r="BC415" s="46"/>
      <c r="BD415" s="45"/>
      <c r="BE415" s="110" t="s">
        <v>1874</v>
      </c>
      <c r="BF415" s="110" t="s">
        <v>1874</v>
      </c>
      <c r="BG415" s="110" t="s">
        <v>1874</v>
      </c>
      <c r="BH415" s="110" t="s">
        <v>1874</v>
      </c>
      <c r="BI415" s="2"/>
    </row>
    <row r="416" spans="1:61" ht="15">
      <c r="A416" s="61" t="s">
        <v>623</v>
      </c>
      <c r="B416" s="62" t="s">
        <v>2893</v>
      </c>
      <c r="C416" s="62"/>
      <c r="D416" s="63">
        <v>108.91089108910892</v>
      </c>
      <c r="E416" s="65">
        <v>56.25</v>
      </c>
      <c r="F416" s="100" t="str">
        <f>HYPERLINK("https://yt3.ggpht.com/lGjWA8oJGFGV8HEbOkU_QNO7_OaMO91tQ43NsOW18TZega3y9KVG-LIuWK6pEoTfP1iB7eTGhGM=s88-c-k-c0x00ffffff-no-rj")</f>
        <v>https://yt3.ggpht.com/lGjWA8oJGFGV8HEbOkU_QNO7_OaMO91tQ43NsOW18TZega3y9KVG-LIuWK6pEoTfP1iB7eTGhGM=s88-c-k-c0x00ffffff-no-rj</v>
      </c>
      <c r="G416" s="62"/>
      <c r="H416" s="66" t="s">
        <v>1917</v>
      </c>
      <c r="I416" s="67"/>
      <c r="J416" s="67" t="s">
        <v>159</v>
      </c>
      <c r="K416" s="66" t="s">
        <v>1917</v>
      </c>
      <c r="L416" s="70"/>
      <c r="M416" s="71">
        <v>6109.76123046875</v>
      </c>
      <c r="N416" s="71">
        <v>1558.8328857421875</v>
      </c>
      <c r="O416" s="72"/>
      <c r="P416" s="73"/>
      <c r="Q416" s="73"/>
      <c r="R416" s="94"/>
      <c r="S416" s="45">
        <v>1</v>
      </c>
      <c r="T416" s="45">
        <v>1</v>
      </c>
      <c r="U416" s="46">
        <v>0</v>
      </c>
      <c r="V416" s="46">
        <v>0</v>
      </c>
      <c r="W416" s="46">
        <v>0</v>
      </c>
      <c r="X416" s="46">
        <v>0.002358</v>
      </c>
      <c r="Y416" s="46">
        <v>0</v>
      </c>
      <c r="Z416" s="46">
        <v>0</v>
      </c>
      <c r="AA416" s="68">
        <v>416</v>
      </c>
      <c r="AB416" s="68"/>
      <c r="AC416" s="69"/>
      <c r="AD416" s="83" t="s">
        <v>1917</v>
      </c>
      <c r="AE416" s="83" t="s">
        <v>2073</v>
      </c>
      <c r="AF416" s="83"/>
      <c r="AG416" s="83"/>
      <c r="AH416" s="83"/>
      <c r="AI416" s="83" t="s">
        <v>2494</v>
      </c>
      <c r="AJ416" s="83" t="s">
        <v>2737</v>
      </c>
      <c r="AK416" s="89" t="str">
        <f>HYPERLINK("https://yt3.ggpht.com/lGjWA8oJGFGV8HEbOkU_QNO7_OaMO91tQ43NsOW18TZega3y9KVG-LIuWK6pEoTfP1iB7eTGhGM=s88-c-k-c0x00ffffff-no-rj")</f>
        <v>https://yt3.ggpht.com/lGjWA8oJGFGV8HEbOkU_QNO7_OaMO91tQ43NsOW18TZega3y9KVG-LIuWK6pEoTfP1iB7eTGhGM=s88-c-k-c0x00ffffff-no-rj</v>
      </c>
      <c r="AL416" s="83">
        <v>10133247</v>
      </c>
      <c r="AM416" s="83">
        <v>0</v>
      </c>
      <c r="AN416" s="83">
        <v>21200</v>
      </c>
      <c r="AO416" s="83" t="b">
        <v>0</v>
      </c>
      <c r="AP416" s="83">
        <v>3602</v>
      </c>
      <c r="AQ416" s="83"/>
      <c r="AR416" s="83"/>
      <c r="AS416" s="83" t="s">
        <v>2744</v>
      </c>
      <c r="AT416" s="89" t="str">
        <f>HYPERLINK("https://www.youtube.com/channel/UCYeM_gaqh-WJBU-cAZUoTOw")</f>
        <v>https://www.youtube.com/channel/UCYeM_gaqh-WJBU-cAZUoTOw</v>
      </c>
      <c r="AU416" s="83" t="str">
        <f>REPLACE(INDEX(GroupVertices[Group],MATCH(Vertices[[#This Row],[Vertex]],GroupVertices[Vertex],0)),1,1,"")</f>
        <v>6</v>
      </c>
      <c r="AV416" s="45"/>
      <c r="AW416" s="46"/>
      <c r="AX416" s="45"/>
      <c r="AY416" s="46"/>
      <c r="AZ416" s="45"/>
      <c r="BA416" s="46"/>
      <c r="BB416" s="45"/>
      <c r="BC416" s="46"/>
      <c r="BD416" s="45"/>
      <c r="BE416" s="110" t="s">
        <v>1874</v>
      </c>
      <c r="BF416" s="110" t="s">
        <v>1874</v>
      </c>
      <c r="BG416" s="110" t="s">
        <v>1874</v>
      </c>
      <c r="BH416" s="110" t="s">
        <v>1874</v>
      </c>
      <c r="BI416" s="2"/>
    </row>
    <row r="417" spans="1:61" ht="15">
      <c r="A417" s="61" t="s">
        <v>624</v>
      </c>
      <c r="B417" s="62" t="s">
        <v>2893</v>
      </c>
      <c r="C417" s="62"/>
      <c r="D417" s="63">
        <v>108.91089108910892</v>
      </c>
      <c r="E417" s="65">
        <v>56.25</v>
      </c>
      <c r="F417" s="100" t="str">
        <f>HYPERLINK("https://yt3.ggpht.com/jp-NuaXvLg49QAFwDJrf-AxEN0O7E0O5ecxszi8POg6yuc3BFi09Q22M6xf77puaA-rGMjPLPw=s88-c-k-c0x00ffffff-no-rj")</f>
        <v>https://yt3.ggpht.com/jp-NuaXvLg49QAFwDJrf-AxEN0O7E0O5ecxszi8POg6yuc3BFi09Q22M6xf77puaA-rGMjPLPw=s88-c-k-c0x00ffffff-no-rj</v>
      </c>
      <c r="G417" s="62"/>
      <c r="H417" s="66" t="s">
        <v>1918</v>
      </c>
      <c r="I417" s="67"/>
      <c r="J417" s="67" t="s">
        <v>159</v>
      </c>
      <c r="K417" s="66" t="s">
        <v>1918</v>
      </c>
      <c r="L417" s="70"/>
      <c r="M417" s="71">
        <v>6431.5380859375</v>
      </c>
      <c r="N417" s="71">
        <v>1558.8328857421875</v>
      </c>
      <c r="O417" s="72"/>
      <c r="P417" s="73"/>
      <c r="Q417" s="73"/>
      <c r="R417" s="94"/>
      <c r="S417" s="45">
        <v>1</v>
      </c>
      <c r="T417" s="45">
        <v>1</v>
      </c>
      <c r="U417" s="46">
        <v>0</v>
      </c>
      <c r="V417" s="46">
        <v>0</v>
      </c>
      <c r="W417" s="46">
        <v>0</v>
      </c>
      <c r="X417" s="46">
        <v>0.002358</v>
      </c>
      <c r="Y417" s="46">
        <v>0</v>
      </c>
      <c r="Z417" s="46">
        <v>0</v>
      </c>
      <c r="AA417" s="68">
        <v>417</v>
      </c>
      <c r="AB417" s="68"/>
      <c r="AC417" s="69"/>
      <c r="AD417" s="83" t="s">
        <v>1918</v>
      </c>
      <c r="AE417" s="83" t="s">
        <v>2074</v>
      </c>
      <c r="AF417" s="83"/>
      <c r="AG417" s="83"/>
      <c r="AH417" s="83"/>
      <c r="AI417" s="83" t="s">
        <v>2495</v>
      </c>
      <c r="AJ417" s="83" t="s">
        <v>2738</v>
      </c>
      <c r="AK417" s="89" t="str">
        <f>HYPERLINK("https://yt3.ggpht.com/jp-NuaXvLg49QAFwDJrf-AxEN0O7E0O5ecxszi8POg6yuc3BFi09Q22M6xf77puaA-rGMjPLPw=s88-c-k-c0x00ffffff-no-rj")</f>
        <v>https://yt3.ggpht.com/jp-NuaXvLg49QAFwDJrf-AxEN0O7E0O5ecxszi8POg6yuc3BFi09Q22M6xf77puaA-rGMjPLPw=s88-c-k-c0x00ffffff-no-rj</v>
      </c>
      <c r="AL417" s="83">
        <v>265714</v>
      </c>
      <c r="AM417" s="83">
        <v>0</v>
      </c>
      <c r="AN417" s="83">
        <v>2060</v>
      </c>
      <c r="AO417" s="83" t="b">
        <v>0</v>
      </c>
      <c r="AP417" s="83">
        <v>201</v>
      </c>
      <c r="AQ417" s="83"/>
      <c r="AR417" s="83"/>
      <c r="AS417" s="83" t="s">
        <v>2744</v>
      </c>
      <c r="AT417" s="89" t="str">
        <f>HYPERLINK("https://www.youtube.com/channel/UCeLATagAHFszoRCjVHoXbrQ")</f>
        <v>https://www.youtube.com/channel/UCeLATagAHFszoRCjVHoXbrQ</v>
      </c>
      <c r="AU417" s="83" t="str">
        <f>REPLACE(INDEX(GroupVertices[Group],MATCH(Vertices[[#This Row],[Vertex]],GroupVertices[Vertex],0)),1,1,"")</f>
        <v>6</v>
      </c>
      <c r="AV417" s="45"/>
      <c r="AW417" s="46"/>
      <c r="AX417" s="45"/>
      <c r="AY417" s="46"/>
      <c r="AZ417" s="45"/>
      <c r="BA417" s="46"/>
      <c r="BB417" s="45"/>
      <c r="BC417" s="46"/>
      <c r="BD417" s="45"/>
      <c r="BE417" s="110" t="s">
        <v>1874</v>
      </c>
      <c r="BF417" s="110" t="s">
        <v>1874</v>
      </c>
      <c r="BG417" s="110" t="s">
        <v>1874</v>
      </c>
      <c r="BH417" s="110" t="s">
        <v>1874</v>
      </c>
      <c r="BI417" s="2"/>
    </row>
    <row r="418" spans="1:61" ht="15">
      <c r="A418" s="61" t="s">
        <v>626</v>
      </c>
      <c r="B418" s="62" t="s">
        <v>2893</v>
      </c>
      <c r="C418" s="62"/>
      <c r="D418" s="63">
        <v>108.91089108910892</v>
      </c>
      <c r="E418" s="65">
        <v>56.25</v>
      </c>
      <c r="F418" s="100" t="str">
        <f>HYPERLINK("https://yt3.ggpht.com/ytc/AGIKgqOhVlQ1ZANANrd4KF3cqDibfeVXwg7x2U6Fnzc3=s88-c-k-c0x00ffffff-no-rj")</f>
        <v>https://yt3.ggpht.com/ytc/AGIKgqOhVlQ1ZANANrd4KF3cqDibfeVXwg7x2U6Fnzc3=s88-c-k-c0x00ffffff-no-rj</v>
      </c>
      <c r="G418" s="62"/>
      <c r="H418" s="66" t="s">
        <v>1919</v>
      </c>
      <c r="I418" s="67"/>
      <c r="J418" s="67" t="s">
        <v>159</v>
      </c>
      <c r="K418" s="66" t="s">
        <v>1919</v>
      </c>
      <c r="L418" s="70"/>
      <c r="M418" s="71">
        <v>6753.31396484375</v>
      </c>
      <c r="N418" s="71">
        <v>1558.8328857421875</v>
      </c>
      <c r="O418" s="72"/>
      <c r="P418" s="73"/>
      <c r="Q418" s="73"/>
      <c r="R418" s="94"/>
      <c r="S418" s="45">
        <v>1</v>
      </c>
      <c r="T418" s="45">
        <v>1</v>
      </c>
      <c r="U418" s="46">
        <v>0</v>
      </c>
      <c r="V418" s="46">
        <v>0</v>
      </c>
      <c r="W418" s="46">
        <v>0</v>
      </c>
      <c r="X418" s="46">
        <v>0.002358</v>
      </c>
      <c r="Y418" s="46">
        <v>0</v>
      </c>
      <c r="Z418" s="46">
        <v>0</v>
      </c>
      <c r="AA418" s="68">
        <v>418</v>
      </c>
      <c r="AB418" s="68"/>
      <c r="AC418" s="69"/>
      <c r="AD418" s="83" t="s">
        <v>1919</v>
      </c>
      <c r="AE418" s="83" t="s">
        <v>2075</v>
      </c>
      <c r="AF418" s="83"/>
      <c r="AG418" s="83"/>
      <c r="AH418" s="83"/>
      <c r="AI418" s="83" t="s">
        <v>2496</v>
      </c>
      <c r="AJ418" s="83" t="s">
        <v>2739</v>
      </c>
      <c r="AK418" s="89" t="str">
        <f>HYPERLINK("https://yt3.ggpht.com/ytc/AGIKgqOhVlQ1ZANANrd4KF3cqDibfeVXwg7x2U6Fnzc3=s88-c-k-c0x00ffffff-no-rj")</f>
        <v>https://yt3.ggpht.com/ytc/AGIKgqOhVlQ1ZANANrd4KF3cqDibfeVXwg7x2U6Fnzc3=s88-c-k-c0x00ffffff-no-rj</v>
      </c>
      <c r="AL418" s="83">
        <v>2540</v>
      </c>
      <c r="AM418" s="83">
        <v>0</v>
      </c>
      <c r="AN418" s="83">
        <v>23</v>
      </c>
      <c r="AO418" s="83" t="b">
        <v>0</v>
      </c>
      <c r="AP418" s="83">
        <v>34</v>
      </c>
      <c r="AQ418" s="83"/>
      <c r="AR418" s="83"/>
      <c r="AS418" s="83" t="s">
        <v>2744</v>
      </c>
      <c r="AT418" s="89" t="str">
        <f>HYPERLINK("https://www.youtube.com/channel/UCNsiSjiFhCzfltBVCBd3Now")</f>
        <v>https://www.youtube.com/channel/UCNsiSjiFhCzfltBVCBd3Now</v>
      </c>
      <c r="AU418" s="83" t="str">
        <f>REPLACE(INDEX(GroupVertices[Group],MATCH(Vertices[[#This Row],[Vertex]],GroupVertices[Vertex],0)),1,1,"")</f>
        <v>6</v>
      </c>
      <c r="AV418" s="45"/>
      <c r="AW418" s="46"/>
      <c r="AX418" s="45"/>
      <c r="AY418" s="46"/>
      <c r="AZ418" s="45"/>
      <c r="BA418" s="46"/>
      <c r="BB418" s="45"/>
      <c r="BC418" s="46"/>
      <c r="BD418" s="45"/>
      <c r="BE418" s="110" t="s">
        <v>1874</v>
      </c>
      <c r="BF418" s="110" t="s">
        <v>1874</v>
      </c>
      <c r="BG418" s="110" t="s">
        <v>1874</v>
      </c>
      <c r="BH418" s="110" t="s">
        <v>1874</v>
      </c>
      <c r="BI418" s="2"/>
    </row>
    <row r="419" spans="1:61" ht="15">
      <c r="A419" s="61" t="s">
        <v>627</v>
      </c>
      <c r="B419" s="62" t="s">
        <v>2893</v>
      </c>
      <c r="C419" s="62"/>
      <c r="D419" s="63">
        <v>108.91089108910892</v>
      </c>
      <c r="E419" s="65">
        <v>56.25</v>
      </c>
      <c r="F419" s="100" t="str">
        <f>HYPERLINK("https://yt3.ggpht.com/_b3E56wNQ3PRyzoun_Y1xYqh3bVHyAJKottTymwqI4vJujQJrDD0WWO3JC97A1A4eucjJCQGFA=s88-c-k-c0x00ffffff-no-rj")</f>
        <v>https://yt3.ggpht.com/_b3E56wNQ3PRyzoun_Y1xYqh3bVHyAJKottTymwqI4vJujQJrDD0WWO3JC97A1A4eucjJCQGFA=s88-c-k-c0x00ffffff-no-rj</v>
      </c>
      <c r="G419" s="62"/>
      <c r="H419" s="66" t="s">
        <v>1920</v>
      </c>
      <c r="I419" s="67"/>
      <c r="J419" s="67" t="s">
        <v>159</v>
      </c>
      <c r="K419" s="66" t="s">
        <v>1920</v>
      </c>
      <c r="L419" s="70"/>
      <c r="M419" s="71">
        <v>5466.208984375</v>
      </c>
      <c r="N419" s="71">
        <v>1047.647705078125</v>
      </c>
      <c r="O419" s="72"/>
      <c r="P419" s="73"/>
      <c r="Q419" s="73"/>
      <c r="R419" s="94"/>
      <c r="S419" s="45">
        <v>1</v>
      </c>
      <c r="T419" s="45">
        <v>1</v>
      </c>
      <c r="U419" s="46">
        <v>0</v>
      </c>
      <c r="V419" s="46">
        <v>0</v>
      </c>
      <c r="W419" s="46">
        <v>0</v>
      </c>
      <c r="X419" s="46">
        <v>0.002358</v>
      </c>
      <c r="Y419" s="46">
        <v>0</v>
      </c>
      <c r="Z419" s="46">
        <v>0</v>
      </c>
      <c r="AA419" s="68">
        <v>419</v>
      </c>
      <c r="AB419" s="68"/>
      <c r="AC419" s="69"/>
      <c r="AD419" s="83" t="s">
        <v>1920</v>
      </c>
      <c r="AE419" s="83" t="s">
        <v>2076</v>
      </c>
      <c r="AF419" s="83"/>
      <c r="AG419" s="83"/>
      <c r="AH419" s="83"/>
      <c r="AI419" s="83" t="s">
        <v>2497</v>
      </c>
      <c r="AJ419" s="92">
        <v>44295.45630787037</v>
      </c>
      <c r="AK419" s="89" t="str">
        <f>HYPERLINK("https://yt3.ggpht.com/_b3E56wNQ3PRyzoun_Y1xYqh3bVHyAJKottTymwqI4vJujQJrDD0WWO3JC97A1A4eucjJCQGFA=s88-c-k-c0x00ffffff-no-rj")</f>
        <v>https://yt3.ggpht.com/_b3E56wNQ3PRyzoun_Y1xYqh3bVHyAJKottTymwqI4vJujQJrDD0WWO3JC97A1A4eucjJCQGFA=s88-c-k-c0x00ffffff-no-rj</v>
      </c>
      <c r="AL419" s="83">
        <v>4222</v>
      </c>
      <c r="AM419" s="83">
        <v>0</v>
      </c>
      <c r="AN419" s="83">
        <v>46</v>
      </c>
      <c r="AO419" s="83" t="b">
        <v>0</v>
      </c>
      <c r="AP419" s="83">
        <v>112</v>
      </c>
      <c r="AQ419" s="83"/>
      <c r="AR419" s="83"/>
      <c r="AS419" s="83" t="s">
        <v>2744</v>
      </c>
      <c r="AT419" s="89" t="str">
        <f>HYPERLINK("https://www.youtube.com/channel/UC9G3-sDCpNVC-U0R9EX2I-w")</f>
        <v>https://www.youtube.com/channel/UC9G3-sDCpNVC-U0R9EX2I-w</v>
      </c>
      <c r="AU419" s="83" t="str">
        <f>REPLACE(INDEX(GroupVertices[Group],MATCH(Vertices[[#This Row],[Vertex]],GroupVertices[Vertex],0)),1,1,"")</f>
        <v>6</v>
      </c>
      <c r="AV419" s="45"/>
      <c r="AW419" s="46"/>
      <c r="AX419" s="45"/>
      <c r="AY419" s="46"/>
      <c r="AZ419" s="45"/>
      <c r="BA419" s="46"/>
      <c r="BB419" s="45"/>
      <c r="BC419" s="46"/>
      <c r="BD419" s="45"/>
      <c r="BE419" s="110" t="s">
        <v>1874</v>
      </c>
      <c r="BF419" s="110" t="s">
        <v>1874</v>
      </c>
      <c r="BG419" s="110" t="s">
        <v>1874</v>
      </c>
      <c r="BH419" s="110" t="s">
        <v>1874</v>
      </c>
      <c r="BI419" s="2"/>
    </row>
    <row r="420" spans="1:61" ht="15">
      <c r="A420" s="61" t="s">
        <v>632</v>
      </c>
      <c r="B420" s="62" t="s">
        <v>2893</v>
      </c>
      <c r="C420" s="62"/>
      <c r="D420" s="63">
        <v>108.91089108910892</v>
      </c>
      <c r="E420" s="65">
        <v>56.25</v>
      </c>
      <c r="F420" s="100" t="str">
        <f>HYPERLINK("https://yt3.ggpht.com/ytc/AGIKgqNQ8MWlDSMFJrX2_JLvAP01jWEu_LqEaBOFXwrC=s88-c-k-c0x00ffffff-no-rj")</f>
        <v>https://yt3.ggpht.com/ytc/AGIKgqNQ8MWlDSMFJrX2_JLvAP01jWEu_LqEaBOFXwrC=s88-c-k-c0x00ffffff-no-rj</v>
      </c>
      <c r="G420" s="62"/>
      <c r="H420" s="66" t="s">
        <v>1921</v>
      </c>
      <c r="I420" s="67"/>
      <c r="J420" s="67" t="s">
        <v>159</v>
      </c>
      <c r="K420" s="66" t="s">
        <v>1921</v>
      </c>
      <c r="L420" s="70"/>
      <c r="M420" s="71">
        <v>5787.98486328125</v>
      </c>
      <c r="N420" s="71">
        <v>1047.647705078125</v>
      </c>
      <c r="O420" s="72"/>
      <c r="P420" s="73"/>
      <c r="Q420" s="73"/>
      <c r="R420" s="94"/>
      <c r="S420" s="45">
        <v>1</v>
      </c>
      <c r="T420" s="45">
        <v>1</v>
      </c>
      <c r="U420" s="46">
        <v>0</v>
      </c>
      <c r="V420" s="46">
        <v>0</v>
      </c>
      <c r="W420" s="46">
        <v>0</v>
      </c>
      <c r="X420" s="46">
        <v>0.002358</v>
      </c>
      <c r="Y420" s="46">
        <v>0</v>
      </c>
      <c r="Z420" s="46">
        <v>0</v>
      </c>
      <c r="AA420" s="68">
        <v>420</v>
      </c>
      <c r="AB420" s="68"/>
      <c r="AC420" s="69"/>
      <c r="AD420" s="83" t="s">
        <v>1921</v>
      </c>
      <c r="AE420" s="83" t="s">
        <v>2077</v>
      </c>
      <c r="AF420" s="83"/>
      <c r="AG420" s="83"/>
      <c r="AH420" s="83"/>
      <c r="AI420" s="83" t="s">
        <v>2498</v>
      </c>
      <c r="AJ420" s="83" t="s">
        <v>2740</v>
      </c>
      <c r="AK420" s="89" t="str">
        <f>HYPERLINK("https://yt3.ggpht.com/ytc/AGIKgqNQ8MWlDSMFJrX2_JLvAP01jWEu_LqEaBOFXwrC=s88-c-k-c0x00ffffff-no-rj")</f>
        <v>https://yt3.ggpht.com/ytc/AGIKgqNQ8MWlDSMFJrX2_JLvAP01jWEu_LqEaBOFXwrC=s88-c-k-c0x00ffffff-no-rj</v>
      </c>
      <c r="AL420" s="83">
        <v>4620</v>
      </c>
      <c r="AM420" s="83">
        <v>0</v>
      </c>
      <c r="AN420" s="83">
        <v>14</v>
      </c>
      <c r="AO420" s="83" t="b">
        <v>0</v>
      </c>
      <c r="AP420" s="83">
        <v>42</v>
      </c>
      <c r="AQ420" s="83"/>
      <c r="AR420" s="83"/>
      <c r="AS420" s="83" t="s">
        <v>2744</v>
      </c>
      <c r="AT420" s="89" t="str">
        <f>HYPERLINK("https://www.youtube.com/channel/UC7t4_eNlJo3ZNkAtdXoi-dQ")</f>
        <v>https://www.youtube.com/channel/UC7t4_eNlJo3ZNkAtdXoi-dQ</v>
      </c>
      <c r="AU420" s="83" t="str">
        <f>REPLACE(INDEX(GroupVertices[Group],MATCH(Vertices[[#This Row],[Vertex]],GroupVertices[Vertex],0)),1,1,"")</f>
        <v>6</v>
      </c>
      <c r="AV420" s="45"/>
      <c r="AW420" s="46"/>
      <c r="AX420" s="45"/>
      <c r="AY420" s="46"/>
      <c r="AZ420" s="45"/>
      <c r="BA420" s="46"/>
      <c r="BB420" s="45"/>
      <c r="BC420" s="46"/>
      <c r="BD420" s="45"/>
      <c r="BE420" s="110" t="s">
        <v>1874</v>
      </c>
      <c r="BF420" s="110" t="s">
        <v>1874</v>
      </c>
      <c r="BG420" s="110" t="s">
        <v>1874</v>
      </c>
      <c r="BH420" s="110" t="s">
        <v>1874</v>
      </c>
      <c r="BI420" s="2"/>
    </row>
    <row r="421" spans="1:61" ht="15">
      <c r="A421" s="61" t="s">
        <v>635</v>
      </c>
      <c r="B421" s="62" t="s">
        <v>2893</v>
      </c>
      <c r="C421" s="62"/>
      <c r="D421" s="63">
        <v>108.91089108910892</v>
      </c>
      <c r="E421" s="65">
        <v>56.25</v>
      </c>
      <c r="F421" s="100" t="str">
        <f>HYPERLINK("https://yt3.ggpht.com/ytc/AGIKgqNS0LvBU75iO58UGFRSu4yzGUUDhbt2HraIDj7p=s88-c-k-c0x00ffffff-no-rj")</f>
        <v>https://yt3.ggpht.com/ytc/AGIKgqNS0LvBU75iO58UGFRSu4yzGUUDhbt2HraIDj7p=s88-c-k-c0x00ffffff-no-rj</v>
      </c>
      <c r="G421" s="62"/>
      <c r="H421" s="66" t="s">
        <v>1922</v>
      </c>
      <c r="I421" s="67"/>
      <c r="J421" s="67" t="s">
        <v>159</v>
      </c>
      <c r="K421" s="66" t="s">
        <v>1922</v>
      </c>
      <c r="L421" s="70"/>
      <c r="M421" s="71">
        <v>6109.76123046875</v>
      </c>
      <c r="N421" s="71">
        <v>1047.647705078125</v>
      </c>
      <c r="O421" s="72"/>
      <c r="P421" s="73"/>
      <c r="Q421" s="73"/>
      <c r="R421" s="94"/>
      <c r="S421" s="45">
        <v>1</v>
      </c>
      <c r="T421" s="45">
        <v>1</v>
      </c>
      <c r="U421" s="46">
        <v>0</v>
      </c>
      <c r="V421" s="46">
        <v>0</v>
      </c>
      <c r="W421" s="46">
        <v>0</v>
      </c>
      <c r="X421" s="46">
        <v>0.002358</v>
      </c>
      <c r="Y421" s="46">
        <v>0</v>
      </c>
      <c r="Z421" s="46">
        <v>0</v>
      </c>
      <c r="AA421" s="68">
        <v>421</v>
      </c>
      <c r="AB421" s="68"/>
      <c r="AC421" s="69"/>
      <c r="AD421" s="83" t="s">
        <v>1922</v>
      </c>
      <c r="AE421" s="83" t="s">
        <v>2078</v>
      </c>
      <c r="AF421" s="83"/>
      <c r="AG421" s="83"/>
      <c r="AH421" s="83"/>
      <c r="AI421" s="83" t="s">
        <v>2499</v>
      </c>
      <c r="AJ421" s="92">
        <v>44173.984606481485</v>
      </c>
      <c r="AK421" s="89" t="str">
        <f>HYPERLINK("https://yt3.ggpht.com/ytc/AGIKgqNS0LvBU75iO58UGFRSu4yzGUUDhbt2HraIDj7p=s88-c-k-c0x00ffffff-no-rj")</f>
        <v>https://yt3.ggpht.com/ytc/AGIKgqNS0LvBU75iO58UGFRSu4yzGUUDhbt2HraIDj7p=s88-c-k-c0x00ffffff-no-rj</v>
      </c>
      <c r="AL421" s="83">
        <v>764</v>
      </c>
      <c r="AM421" s="83">
        <v>0</v>
      </c>
      <c r="AN421" s="83">
        <v>6</v>
      </c>
      <c r="AO421" s="83" t="b">
        <v>0</v>
      </c>
      <c r="AP421" s="83">
        <v>48</v>
      </c>
      <c r="AQ421" s="83"/>
      <c r="AR421" s="83"/>
      <c r="AS421" s="83" t="s">
        <v>2744</v>
      </c>
      <c r="AT421" s="89" t="str">
        <f>HYPERLINK("https://www.youtube.com/channel/UC9IsmgP8_HLq9wS1Z45wr1g")</f>
        <v>https://www.youtube.com/channel/UC9IsmgP8_HLq9wS1Z45wr1g</v>
      </c>
      <c r="AU421" s="83" t="str">
        <f>REPLACE(INDEX(GroupVertices[Group],MATCH(Vertices[[#This Row],[Vertex]],GroupVertices[Vertex],0)),1,1,"")</f>
        <v>6</v>
      </c>
      <c r="AV421" s="45"/>
      <c r="AW421" s="46"/>
      <c r="AX421" s="45"/>
      <c r="AY421" s="46"/>
      <c r="AZ421" s="45"/>
      <c r="BA421" s="46"/>
      <c r="BB421" s="45"/>
      <c r="BC421" s="46"/>
      <c r="BD421" s="45"/>
      <c r="BE421" s="110" t="s">
        <v>1874</v>
      </c>
      <c r="BF421" s="110" t="s">
        <v>1874</v>
      </c>
      <c r="BG421" s="110" t="s">
        <v>1874</v>
      </c>
      <c r="BH421" s="110" t="s">
        <v>1874</v>
      </c>
      <c r="BI421" s="2"/>
    </row>
    <row r="422" spans="1:61" ht="15">
      <c r="A422" s="61" t="s">
        <v>636</v>
      </c>
      <c r="B422" s="62" t="s">
        <v>2893</v>
      </c>
      <c r="C422" s="62"/>
      <c r="D422" s="63">
        <v>108.91089108910892</v>
      </c>
      <c r="E422" s="65">
        <v>56.25</v>
      </c>
      <c r="F422" s="100" t="str">
        <f>HYPERLINK("https://yt3.ggpht.com/ytc/AGIKgqNhY2r0QuGgIpgyMbHuVBvYvHlJRbGJVq3URqpoFA=s88-c-k-c0x00ffffff-no-rj")</f>
        <v>https://yt3.ggpht.com/ytc/AGIKgqNhY2r0QuGgIpgyMbHuVBvYvHlJRbGJVq3URqpoFA=s88-c-k-c0x00ffffff-no-rj</v>
      </c>
      <c r="G422" s="62"/>
      <c r="H422" s="66" t="s">
        <v>1923</v>
      </c>
      <c r="I422" s="67"/>
      <c r="J422" s="67" t="s">
        <v>159</v>
      </c>
      <c r="K422" s="66" t="s">
        <v>1923</v>
      </c>
      <c r="L422" s="70"/>
      <c r="M422" s="71">
        <v>6431.5380859375</v>
      </c>
      <c r="N422" s="71">
        <v>1047.647705078125</v>
      </c>
      <c r="O422" s="72"/>
      <c r="P422" s="73"/>
      <c r="Q422" s="73"/>
      <c r="R422" s="94"/>
      <c r="S422" s="45">
        <v>1</v>
      </c>
      <c r="T422" s="45">
        <v>1</v>
      </c>
      <c r="U422" s="46">
        <v>0</v>
      </c>
      <c r="V422" s="46">
        <v>0</v>
      </c>
      <c r="W422" s="46">
        <v>0</v>
      </c>
      <c r="X422" s="46">
        <v>0.002358</v>
      </c>
      <c r="Y422" s="46">
        <v>0</v>
      </c>
      <c r="Z422" s="46">
        <v>0</v>
      </c>
      <c r="AA422" s="68">
        <v>422</v>
      </c>
      <c r="AB422" s="68"/>
      <c r="AC422" s="69"/>
      <c r="AD422" s="83" t="s">
        <v>1923</v>
      </c>
      <c r="AE422" s="83" t="s">
        <v>2079</v>
      </c>
      <c r="AF422" s="83"/>
      <c r="AG422" s="83"/>
      <c r="AH422" s="83"/>
      <c r="AI422" s="83" t="s">
        <v>2500</v>
      </c>
      <c r="AJ422" s="83" t="s">
        <v>2741</v>
      </c>
      <c r="AK422" s="89" t="str">
        <f>HYPERLINK("https://yt3.ggpht.com/ytc/AGIKgqNhY2r0QuGgIpgyMbHuVBvYvHlJRbGJVq3URqpoFA=s88-c-k-c0x00ffffff-no-rj")</f>
        <v>https://yt3.ggpht.com/ytc/AGIKgqNhY2r0QuGgIpgyMbHuVBvYvHlJRbGJVq3URqpoFA=s88-c-k-c0x00ffffff-no-rj</v>
      </c>
      <c r="AL422" s="83">
        <v>1968</v>
      </c>
      <c r="AM422" s="83">
        <v>0</v>
      </c>
      <c r="AN422" s="83">
        <v>9</v>
      </c>
      <c r="AO422" s="83" t="b">
        <v>0</v>
      </c>
      <c r="AP422" s="83">
        <v>44</v>
      </c>
      <c r="AQ422" s="83"/>
      <c r="AR422" s="83"/>
      <c r="AS422" s="83" t="s">
        <v>2744</v>
      </c>
      <c r="AT422" s="89" t="str">
        <f>HYPERLINK("https://www.youtube.com/channel/UCnSsu5lrpMUWhf1zGJWBuFw")</f>
        <v>https://www.youtube.com/channel/UCnSsu5lrpMUWhf1zGJWBuFw</v>
      </c>
      <c r="AU422" s="83" t="str">
        <f>REPLACE(INDEX(GroupVertices[Group],MATCH(Vertices[[#This Row],[Vertex]],GroupVertices[Vertex],0)),1,1,"")</f>
        <v>6</v>
      </c>
      <c r="AV422" s="45"/>
      <c r="AW422" s="46"/>
      <c r="AX422" s="45"/>
      <c r="AY422" s="46"/>
      <c r="AZ422" s="45"/>
      <c r="BA422" s="46"/>
      <c r="BB422" s="45"/>
      <c r="BC422" s="46"/>
      <c r="BD422" s="45"/>
      <c r="BE422" s="110" t="s">
        <v>1874</v>
      </c>
      <c r="BF422" s="110" t="s">
        <v>1874</v>
      </c>
      <c r="BG422" s="110" t="s">
        <v>1874</v>
      </c>
      <c r="BH422" s="110" t="s">
        <v>1874</v>
      </c>
      <c r="BI422" s="2"/>
    </row>
    <row r="423" spans="1:61" ht="15">
      <c r="A423" s="61" t="s">
        <v>640</v>
      </c>
      <c r="B423" s="62" t="s">
        <v>2893</v>
      </c>
      <c r="C423" s="62"/>
      <c r="D423" s="63">
        <v>108.91089108910892</v>
      </c>
      <c r="E423" s="65">
        <v>56.25</v>
      </c>
      <c r="F423" s="100" t="str">
        <f>HYPERLINK("https://yt3.ggpht.com/ytc/AGIKgqP6S2ZpCUw9OsCPktG2S0obGZR4hAkGfG1BK3PC9w=s88-c-k-c0x00ffffff-no-rj")</f>
        <v>https://yt3.ggpht.com/ytc/AGIKgqP6S2ZpCUw9OsCPktG2S0obGZR4hAkGfG1BK3PC9w=s88-c-k-c0x00ffffff-no-rj</v>
      </c>
      <c r="G423" s="62"/>
      <c r="H423" s="66" t="s">
        <v>1924</v>
      </c>
      <c r="I423" s="67"/>
      <c r="J423" s="67" t="s">
        <v>159</v>
      </c>
      <c r="K423" s="66" t="s">
        <v>1924</v>
      </c>
      <c r="L423" s="70"/>
      <c r="M423" s="71">
        <v>6753.31396484375</v>
      </c>
      <c r="N423" s="71">
        <v>1047.647705078125</v>
      </c>
      <c r="O423" s="72"/>
      <c r="P423" s="73"/>
      <c r="Q423" s="73"/>
      <c r="R423" s="94"/>
      <c r="S423" s="45">
        <v>1</v>
      </c>
      <c r="T423" s="45">
        <v>1</v>
      </c>
      <c r="U423" s="46">
        <v>0</v>
      </c>
      <c r="V423" s="46">
        <v>0</v>
      </c>
      <c r="W423" s="46">
        <v>0</v>
      </c>
      <c r="X423" s="46">
        <v>0.002358</v>
      </c>
      <c r="Y423" s="46">
        <v>0</v>
      </c>
      <c r="Z423" s="46">
        <v>0</v>
      </c>
      <c r="AA423" s="68">
        <v>423</v>
      </c>
      <c r="AB423" s="68"/>
      <c r="AC423" s="69"/>
      <c r="AD423" s="83" t="s">
        <v>1924</v>
      </c>
      <c r="AE423" s="83"/>
      <c r="AF423" s="83"/>
      <c r="AG423" s="83"/>
      <c r="AH423" s="83"/>
      <c r="AI423" s="83" t="s">
        <v>2501</v>
      </c>
      <c r="AJ423" s="92">
        <v>40700.947280092594</v>
      </c>
      <c r="AK423" s="89" t="str">
        <f>HYPERLINK("https://yt3.ggpht.com/ytc/AGIKgqP6S2ZpCUw9OsCPktG2S0obGZR4hAkGfG1BK3PC9w=s88-c-k-c0x00ffffff-no-rj")</f>
        <v>https://yt3.ggpht.com/ytc/AGIKgqP6S2ZpCUw9OsCPktG2S0obGZR4hAkGfG1BK3PC9w=s88-c-k-c0x00ffffff-no-rj</v>
      </c>
      <c r="AL423" s="83">
        <v>7771</v>
      </c>
      <c r="AM423" s="83">
        <v>0</v>
      </c>
      <c r="AN423" s="83">
        <v>109</v>
      </c>
      <c r="AO423" s="83" t="b">
        <v>0</v>
      </c>
      <c r="AP423" s="83">
        <v>189</v>
      </c>
      <c r="AQ423" s="83"/>
      <c r="AR423" s="83"/>
      <c r="AS423" s="83" t="s">
        <v>2744</v>
      </c>
      <c r="AT423" s="89" t="str">
        <f>HYPERLINK("https://www.youtube.com/channel/UCjZgiEIJP4GZfTjl3iTdS2Q")</f>
        <v>https://www.youtube.com/channel/UCjZgiEIJP4GZfTjl3iTdS2Q</v>
      </c>
      <c r="AU423" s="83" t="str">
        <f>REPLACE(INDEX(GroupVertices[Group],MATCH(Vertices[[#This Row],[Vertex]],GroupVertices[Vertex],0)),1,1,"")</f>
        <v>6</v>
      </c>
      <c r="AV423" s="45"/>
      <c r="AW423" s="46"/>
      <c r="AX423" s="45"/>
      <c r="AY423" s="46"/>
      <c r="AZ423" s="45"/>
      <c r="BA423" s="46"/>
      <c r="BB423" s="45"/>
      <c r="BC423" s="46"/>
      <c r="BD423" s="45"/>
      <c r="BE423" s="110" t="s">
        <v>1874</v>
      </c>
      <c r="BF423" s="110" t="s">
        <v>1874</v>
      </c>
      <c r="BG423" s="110" t="s">
        <v>1874</v>
      </c>
      <c r="BH423" s="110" t="s">
        <v>1874</v>
      </c>
      <c r="BI423" s="2"/>
    </row>
    <row r="424" spans="1:61" ht="15">
      <c r="A424" s="61" t="s">
        <v>643</v>
      </c>
      <c r="B424" s="62" t="s">
        <v>2893</v>
      </c>
      <c r="C424" s="62"/>
      <c r="D424" s="63">
        <v>108.91089108910892</v>
      </c>
      <c r="E424" s="65">
        <v>56.25</v>
      </c>
      <c r="F424" s="100" t="str">
        <f>HYPERLINK("https://yt3.ggpht.com/GULB-zkspqdphoJCZbXRRDPp01YGqLvwyzV4DD-a244-OxhgpgK80RSzfIsLhC4b3FI0LIslFKY=s88-c-k-c0x00ffffff-no-rj")</f>
        <v>https://yt3.ggpht.com/GULB-zkspqdphoJCZbXRRDPp01YGqLvwyzV4DD-a244-OxhgpgK80RSzfIsLhC4b3FI0LIslFKY=s88-c-k-c0x00ffffff-no-rj</v>
      </c>
      <c r="G424" s="62"/>
      <c r="H424" s="66" t="s">
        <v>1925</v>
      </c>
      <c r="I424" s="67"/>
      <c r="J424" s="67" t="s">
        <v>159</v>
      </c>
      <c r="K424" s="66" t="s">
        <v>1925</v>
      </c>
      <c r="L424" s="70"/>
      <c r="M424" s="71">
        <v>5466.208984375</v>
      </c>
      <c r="N424" s="71">
        <v>536.46337890625</v>
      </c>
      <c r="O424" s="72"/>
      <c r="P424" s="73"/>
      <c r="Q424" s="73"/>
      <c r="R424" s="94"/>
      <c r="S424" s="45">
        <v>1</v>
      </c>
      <c r="T424" s="45">
        <v>1</v>
      </c>
      <c r="U424" s="46">
        <v>0</v>
      </c>
      <c r="V424" s="46">
        <v>0</v>
      </c>
      <c r="W424" s="46">
        <v>0</v>
      </c>
      <c r="X424" s="46">
        <v>0.002358</v>
      </c>
      <c r="Y424" s="46">
        <v>0</v>
      </c>
      <c r="Z424" s="46">
        <v>0</v>
      </c>
      <c r="AA424" s="68">
        <v>424</v>
      </c>
      <c r="AB424" s="68"/>
      <c r="AC424" s="69"/>
      <c r="AD424" s="83" t="s">
        <v>1925</v>
      </c>
      <c r="AE424" s="83" t="s">
        <v>2080</v>
      </c>
      <c r="AF424" s="83"/>
      <c r="AG424" s="83"/>
      <c r="AH424" s="83"/>
      <c r="AI424" s="83" t="s">
        <v>2502</v>
      </c>
      <c r="AJ424" s="92">
        <v>44323.61019675926</v>
      </c>
      <c r="AK424" s="89" t="str">
        <f>HYPERLINK("https://yt3.ggpht.com/GULB-zkspqdphoJCZbXRRDPp01YGqLvwyzV4DD-a244-OxhgpgK80RSzfIsLhC4b3FI0LIslFKY=s88-c-k-c0x00ffffff-no-rj")</f>
        <v>https://yt3.ggpht.com/GULB-zkspqdphoJCZbXRRDPp01YGqLvwyzV4DD-a244-OxhgpgK80RSzfIsLhC4b3FI0LIslFKY=s88-c-k-c0x00ffffff-no-rj</v>
      </c>
      <c r="AL424" s="83">
        <v>17035</v>
      </c>
      <c r="AM424" s="83">
        <v>0</v>
      </c>
      <c r="AN424" s="83">
        <v>198</v>
      </c>
      <c r="AO424" s="83" t="b">
        <v>0</v>
      </c>
      <c r="AP424" s="83">
        <v>233</v>
      </c>
      <c r="AQ424" s="83"/>
      <c r="AR424" s="83"/>
      <c r="AS424" s="83" t="s">
        <v>2744</v>
      </c>
      <c r="AT424" s="89" t="str">
        <f>HYPERLINK("https://www.youtube.com/channel/UC1PmEy1zIRElu9ymmRqxM6w")</f>
        <v>https://www.youtube.com/channel/UC1PmEy1zIRElu9ymmRqxM6w</v>
      </c>
      <c r="AU424" s="83" t="str">
        <f>REPLACE(INDEX(GroupVertices[Group],MATCH(Vertices[[#This Row],[Vertex]],GroupVertices[Vertex],0)),1,1,"")</f>
        <v>6</v>
      </c>
      <c r="AV424" s="45"/>
      <c r="AW424" s="46"/>
      <c r="AX424" s="45"/>
      <c r="AY424" s="46"/>
      <c r="AZ424" s="45"/>
      <c r="BA424" s="46"/>
      <c r="BB424" s="45"/>
      <c r="BC424" s="46"/>
      <c r="BD424" s="45"/>
      <c r="BE424" s="110" t="s">
        <v>1874</v>
      </c>
      <c r="BF424" s="110" t="s">
        <v>1874</v>
      </c>
      <c r="BG424" s="110" t="s">
        <v>1874</v>
      </c>
      <c r="BH424" s="110" t="s">
        <v>1874</v>
      </c>
      <c r="BI424" s="2"/>
    </row>
    <row r="425" spans="1:61" ht="15">
      <c r="A425" s="61" t="s">
        <v>646</v>
      </c>
      <c r="B425" s="62" t="s">
        <v>2894</v>
      </c>
      <c r="C425" s="62"/>
      <c r="D425" s="63">
        <v>108.91089108910892</v>
      </c>
      <c r="E425" s="65">
        <v>56.25</v>
      </c>
      <c r="F425" s="100" t="str">
        <f>HYPERLINK("https://yt3.ggpht.com/EYDNFRGd7qU0LoFfPzZXr03YP4diqKXu8zv48igdq9Vun0wvDhdyQyFqevFZdHqbH62IxVzStg=s88-c-k-c0x00ffffff-no-rj")</f>
        <v>https://yt3.ggpht.com/EYDNFRGd7qU0LoFfPzZXr03YP4diqKXu8zv48igdq9Vun0wvDhdyQyFqevFZdHqbH62IxVzStg=s88-c-k-c0x00ffffff-no-rj</v>
      </c>
      <c r="G425" s="62"/>
      <c r="H425" s="66" t="s">
        <v>1449</v>
      </c>
      <c r="I425" s="67"/>
      <c r="J425" s="67" t="s">
        <v>159</v>
      </c>
      <c r="K425" s="66" t="s">
        <v>1449</v>
      </c>
      <c r="L425" s="70"/>
      <c r="M425" s="71">
        <v>8690.953125</v>
      </c>
      <c r="N425" s="71">
        <v>6547.80078125</v>
      </c>
      <c r="O425" s="72"/>
      <c r="P425" s="73"/>
      <c r="Q425" s="73"/>
      <c r="R425" s="94"/>
      <c r="S425" s="45">
        <v>1</v>
      </c>
      <c r="T425" s="45">
        <v>2</v>
      </c>
      <c r="U425" s="46">
        <v>0</v>
      </c>
      <c r="V425" s="46">
        <v>0.013628</v>
      </c>
      <c r="W425" s="46">
        <v>0</v>
      </c>
      <c r="X425" s="46">
        <v>0.002246</v>
      </c>
      <c r="Y425" s="46">
        <v>0</v>
      </c>
      <c r="Z425" s="46">
        <v>0</v>
      </c>
      <c r="AA425" s="68">
        <v>425</v>
      </c>
      <c r="AB425" s="68"/>
      <c r="AC425" s="69"/>
      <c r="AD425" s="83" t="s">
        <v>1449</v>
      </c>
      <c r="AE425" s="83" t="s">
        <v>2081</v>
      </c>
      <c r="AF425" s="83"/>
      <c r="AG425" s="83"/>
      <c r="AH425" s="83"/>
      <c r="AI425" s="83" t="s">
        <v>2503</v>
      </c>
      <c r="AJ425" s="92">
        <v>40949.41872685185</v>
      </c>
      <c r="AK425" s="89" t="str">
        <f>HYPERLINK("https://yt3.ggpht.com/EYDNFRGd7qU0LoFfPzZXr03YP4diqKXu8zv48igdq9Vun0wvDhdyQyFqevFZdHqbH62IxVzStg=s88-c-k-c0x00ffffff-no-rj")</f>
        <v>https://yt3.ggpht.com/EYDNFRGd7qU0LoFfPzZXr03YP4diqKXu8zv48igdq9Vun0wvDhdyQyFqevFZdHqbH62IxVzStg=s88-c-k-c0x00ffffff-no-rj</v>
      </c>
      <c r="AL425" s="83">
        <v>178019</v>
      </c>
      <c r="AM425" s="83">
        <v>0</v>
      </c>
      <c r="AN425" s="83">
        <v>413</v>
      </c>
      <c r="AO425" s="83" t="b">
        <v>0</v>
      </c>
      <c r="AP425" s="83">
        <v>196</v>
      </c>
      <c r="AQ425" s="83"/>
      <c r="AR425" s="83"/>
      <c r="AS425" s="83" t="s">
        <v>2744</v>
      </c>
      <c r="AT425" s="89" t="str">
        <f>HYPERLINK("https://www.youtube.com/channel/UCZesqSx5h4QieDviYJPF_bA")</f>
        <v>https://www.youtube.com/channel/UCZesqSx5h4QieDviYJPF_bA</v>
      </c>
      <c r="AU425" s="83" t="str">
        <f>REPLACE(INDEX(GroupVertices[Group],MATCH(Vertices[[#This Row],[Vertex]],GroupVertices[Vertex],0)),1,1,"")</f>
        <v>9</v>
      </c>
      <c r="AV425" s="45"/>
      <c r="AW425" s="46"/>
      <c r="AX425" s="45"/>
      <c r="AY425" s="46"/>
      <c r="AZ425" s="45"/>
      <c r="BA425" s="46"/>
      <c r="BB425" s="45"/>
      <c r="BC425" s="46"/>
      <c r="BD425" s="45"/>
      <c r="BE425" s="110" t="s">
        <v>1874</v>
      </c>
      <c r="BF425" s="110" t="s">
        <v>1874</v>
      </c>
      <c r="BG425" s="110" t="s">
        <v>1874</v>
      </c>
      <c r="BH425" s="110" t="s">
        <v>1874</v>
      </c>
      <c r="BI425" s="2"/>
    </row>
    <row r="426" spans="1:61" ht="15">
      <c r="A426" s="75" t="s">
        <v>648</v>
      </c>
      <c r="B426" s="76" t="s">
        <v>2893</v>
      </c>
      <c r="C426" s="76"/>
      <c r="D426" s="77">
        <v>108.91089108910892</v>
      </c>
      <c r="E426" s="78">
        <v>56.25</v>
      </c>
      <c r="F426" s="101" t="str">
        <f>HYPERLINK("https://yt3.ggpht.com/ytc/AGIKgqPSFegGnrttoiKRKl8XqsPNZVXcILL1ODsZxz87krKxJLTYp4U3b0lMKfoKlMOE=s88-c-k-c0x00ffffff-no-rj")</f>
        <v>https://yt3.ggpht.com/ytc/AGIKgqPSFegGnrttoiKRKl8XqsPNZVXcILL1ODsZxz87krKxJLTYp4U3b0lMKfoKlMOE=s88-c-k-c0x00ffffff-no-rj</v>
      </c>
      <c r="G426" s="76"/>
      <c r="H426" s="79" t="s">
        <v>1926</v>
      </c>
      <c r="I426" s="80"/>
      <c r="J426" s="80" t="s">
        <v>159</v>
      </c>
      <c r="K426" s="79" t="s">
        <v>1926</v>
      </c>
      <c r="L426" s="95"/>
      <c r="M426" s="96">
        <v>5787.98486328125</v>
      </c>
      <c r="N426" s="96">
        <v>536.46337890625</v>
      </c>
      <c r="O426" s="97"/>
      <c r="P426" s="98"/>
      <c r="Q426" s="98"/>
      <c r="R426" s="99"/>
      <c r="S426" s="45">
        <v>1</v>
      </c>
      <c r="T426" s="45">
        <v>1</v>
      </c>
      <c r="U426" s="46">
        <v>0</v>
      </c>
      <c r="V426" s="46">
        <v>0</v>
      </c>
      <c r="W426" s="46">
        <v>0</v>
      </c>
      <c r="X426" s="46">
        <v>0.002358</v>
      </c>
      <c r="Y426" s="46">
        <v>0</v>
      </c>
      <c r="Z426" s="46">
        <v>0</v>
      </c>
      <c r="AA426" s="81">
        <v>426</v>
      </c>
      <c r="AB426" s="81"/>
      <c r="AC426" s="82"/>
      <c r="AD426" s="83" t="s">
        <v>1926</v>
      </c>
      <c r="AE426" s="83"/>
      <c r="AF426" s="83"/>
      <c r="AG426" s="83"/>
      <c r="AH426" s="83"/>
      <c r="AI426" s="83" t="s">
        <v>2504</v>
      </c>
      <c r="AJ426" s="83" t="s">
        <v>2742</v>
      </c>
      <c r="AK426" s="89" t="str">
        <f>HYPERLINK("https://yt3.ggpht.com/ytc/AGIKgqPSFegGnrttoiKRKl8XqsPNZVXcILL1ODsZxz87krKxJLTYp4U3b0lMKfoKlMOE=s88-c-k-c0x00ffffff-no-rj")</f>
        <v>https://yt3.ggpht.com/ytc/AGIKgqPSFegGnrttoiKRKl8XqsPNZVXcILL1ODsZxz87krKxJLTYp4U3b0lMKfoKlMOE=s88-c-k-c0x00ffffff-no-rj</v>
      </c>
      <c r="AL426" s="83">
        <v>343</v>
      </c>
      <c r="AM426" s="83">
        <v>0</v>
      </c>
      <c r="AN426" s="83">
        <v>2</v>
      </c>
      <c r="AO426" s="83" t="b">
        <v>0</v>
      </c>
      <c r="AP426" s="83">
        <v>9</v>
      </c>
      <c r="AQ426" s="83"/>
      <c r="AR426" s="83"/>
      <c r="AS426" s="83" t="s">
        <v>2744</v>
      </c>
      <c r="AT426" s="89" t="str">
        <f>HYPERLINK("https://www.youtube.com/channel/UC87eWGE5NyDI3121ZwIjVkA")</f>
        <v>https://www.youtube.com/channel/UC87eWGE5NyDI3121ZwIjVkA</v>
      </c>
      <c r="AU426" s="83" t="str">
        <f>REPLACE(INDEX(GroupVertices[Group],MATCH(Vertices[[#This Row],[Vertex]],GroupVertices[Vertex],0)),1,1,"")</f>
        <v>6</v>
      </c>
      <c r="AV426" s="45"/>
      <c r="AW426" s="46"/>
      <c r="AX426" s="45"/>
      <c r="AY426" s="46"/>
      <c r="AZ426" s="45"/>
      <c r="BA426" s="46"/>
      <c r="BB426" s="45"/>
      <c r="BC426" s="46"/>
      <c r="BD426" s="45"/>
      <c r="BE426" s="110" t="s">
        <v>1874</v>
      </c>
      <c r="BF426" s="110" t="s">
        <v>1874</v>
      </c>
      <c r="BG426" s="110" t="s">
        <v>1874</v>
      </c>
      <c r="BH426" s="110" t="s">
        <v>1874</v>
      </c>
      <c r="BI426"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26"/>
    <dataValidation allowBlank="1" errorTitle="Invalid Vertex Visibility" error="You have entered an unrecognized vertex visibility.  Try selecting from the drop-down list instead." sqref="BI3"/>
    <dataValidation allowBlank="1" showErrorMessage="1" sqref="BI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26"/>
    <dataValidation allowBlank="1" showInputMessage="1" promptTitle="Vertex Tooltip" prompt="Enter optional text that will pop up when the mouse is hovered over the vertex." errorTitle="Invalid Vertex Image Key" sqref="K3:K4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26"/>
    <dataValidation allowBlank="1" showInputMessage="1" promptTitle="Vertex Label Fill Color" prompt="To select an optional fill color for the Label shape, right-click and select Select Color on the right-click menu." sqref="I3:I426"/>
    <dataValidation allowBlank="1" showInputMessage="1" promptTitle="Vertex Image File" prompt="Enter the path to an image file.  Hover over the column header for examples." errorTitle="Invalid Vertex Image Key" sqref="F3:F426"/>
    <dataValidation allowBlank="1" showInputMessage="1" promptTitle="Vertex Color" prompt="To select an optional vertex color, right-click and select Select Color on the right-click menu." sqref="B3:B426"/>
    <dataValidation allowBlank="1" showInputMessage="1" promptTitle="Vertex Opacity" prompt="Enter an optional vertex opacity between 0 (transparent) and 100 (opaque)." errorTitle="Invalid Vertex Opacity" error="The optional vertex opacity must be a whole number between 0 and 10." sqref="E3:E426"/>
    <dataValidation type="list" allowBlank="1" showInputMessage="1" showErrorMessage="1" promptTitle="Vertex Shape" prompt="Select an optional vertex shape." errorTitle="Invalid Vertex Shape" error="You have entered an invalid vertex shape.  Try selecting from the drop-down list instead." sqref="C3:C4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26">
      <formula1>ValidVertexLabelPositions</formula1>
    </dataValidation>
    <dataValidation allowBlank="1" showInputMessage="1" showErrorMessage="1" promptTitle="Vertex Name" prompt="Enter the name of the vertex." sqref="A3:A42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24"/>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2.57421875" style="0" bestFit="1" customWidth="1"/>
    <col min="35" max="35" width="13.14062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35"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2811</v>
      </c>
      <c r="Z2" s="50" t="s">
        <v>2812</v>
      </c>
      <c r="AA2" s="50" t="s">
        <v>2813</v>
      </c>
      <c r="AB2" s="50" t="s">
        <v>2814</v>
      </c>
      <c r="AC2" s="50" t="s">
        <v>2815</v>
      </c>
      <c r="AD2" s="50" t="s">
        <v>2816</v>
      </c>
      <c r="AE2" s="50" t="s">
        <v>2817</v>
      </c>
      <c r="AF2" s="50" t="s">
        <v>2818</v>
      </c>
      <c r="AG2" s="50" t="s">
        <v>2821</v>
      </c>
      <c r="AH2" s="7" t="s">
        <v>2874</v>
      </c>
      <c r="AI2" s="7" t="s">
        <v>2886</v>
      </c>
    </row>
    <row r="3" spans="1:35" ht="15">
      <c r="A3" s="61" t="s">
        <v>2747</v>
      </c>
      <c r="B3" s="62" t="s">
        <v>2769</v>
      </c>
      <c r="C3" s="62" t="s">
        <v>56</v>
      </c>
      <c r="D3" s="11"/>
      <c r="E3" s="11"/>
      <c r="F3" s="12" t="s">
        <v>2747</v>
      </c>
      <c r="G3" s="60"/>
      <c r="H3" s="60"/>
      <c r="I3" s="74">
        <v>3</v>
      </c>
      <c r="J3" s="47"/>
      <c r="K3" s="45">
        <v>100</v>
      </c>
      <c r="L3" s="45">
        <v>100</v>
      </c>
      <c r="M3" s="45">
        <v>0</v>
      </c>
      <c r="N3" s="45">
        <v>100</v>
      </c>
      <c r="O3" s="45">
        <v>1</v>
      </c>
      <c r="P3" s="46">
        <v>0</v>
      </c>
      <c r="Q3" s="46">
        <v>0</v>
      </c>
      <c r="R3" s="45">
        <v>1</v>
      </c>
      <c r="S3" s="45">
        <v>0</v>
      </c>
      <c r="T3" s="45">
        <v>100</v>
      </c>
      <c r="U3" s="45">
        <v>100</v>
      </c>
      <c r="V3" s="45">
        <v>2</v>
      </c>
      <c r="W3" s="46">
        <v>1.9602</v>
      </c>
      <c r="X3" s="46">
        <v>0.01</v>
      </c>
      <c r="Y3" s="45">
        <v>0</v>
      </c>
      <c r="Z3" s="46">
        <v>0</v>
      </c>
      <c r="AA3" s="45">
        <v>0</v>
      </c>
      <c r="AB3" s="46">
        <v>0</v>
      </c>
      <c r="AC3" s="45">
        <v>0</v>
      </c>
      <c r="AD3" s="46">
        <v>0</v>
      </c>
      <c r="AE3" s="45">
        <v>0</v>
      </c>
      <c r="AF3" s="46">
        <v>0</v>
      </c>
      <c r="AG3" s="45">
        <v>0</v>
      </c>
      <c r="AH3" s="87" t="s">
        <v>1874</v>
      </c>
      <c r="AI3" s="87" t="s">
        <v>1874</v>
      </c>
    </row>
    <row r="4" spans="1:35" ht="15">
      <c r="A4" s="61" t="s">
        <v>2748</v>
      </c>
      <c r="B4" s="62" t="s">
        <v>2770</v>
      </c>
      <c r="C4" s="62" t="s">
        <v>56</v>
      </c>
      <c r="D4" s="11"/>
      <c r="E4" s="11"/>
      <c r="F4" s="12" t="s">
        <v>2748</v>
      </c>
      <c r="G4" s="60"/>
      <c r="H4" s="60"/>
      <c r="I4" s="74">
        <v>4</v>
      </c>
      <c r="J4" s="74"/>
      <c r="K4" s="45">
        <v>82</v>
      </c>
      <c r="L4" s="45">
        <v>76</v>
      </c>
      <c r="M4" s="45">
        <v>12</v>
      </c>
      <c r="N4" s="45">
        <v>88</v>
      </c>
      <c r="O4" s="45">
        <v>1</v>
      </c>
      <c r="P4" s="46">
        <v>0</v>
      </c>
      <c r="Q4" s="46">
        <v>0</v>
      </c>
      <c r="R4" s="45">
        <v>1</v>
      </c>
      <c r="S4" s="45">
        <v>0</v>
      </c>
      <c r="T4" s="45">
        <v>82</v>
      </c>
      <c r="U4" s="45">
        <v>88</v>
      </c>
      <c r="V4" s="45">
        <v>2</v>
      </c>
      <c r="W4" s="46">
        <v>1.951517</v>
      </c>
      <c r="X4" s="46">
        <v>0.012195121951219513</v>
      </c>
      <c r="Y4" s="45">
        <v>0</v>
      </c>
      <c r="Z4" s="46">
        <v>0</v>
      </c>
      <c r="AA4" s="45">
        <v>0</v>
      </c>
      <c r="AB4" s="46">
        <v>0</v>
      </c>
      <c r="AC4" s="45">
        <v>0</v>
      </c>
      <c r="AD4" s="46">
        <v>0</v>
      </c>
      <c r="AE4" s="45">
        <v>0</v>
      </c>
      <c r="AF4" s="46">
        <v>0</v>
      </c>
      <c r="AG4" s="45">
        <v>0</v>
      </c>
      <c r="AH4" s="87" t="s">
        <v>1874</v>
      </c>
      <c r="AI4" s="87" t="s">
        <v>1874</v>
      </c>
    </row>
    <row r="5" spans="1:35" ht="15">
      <c r="A5" s="61" t="s">
        <v>2749</v>
      </c>
      <c r="B5" s="62" t="s">
        <v>2771</v>
      </c>
      <c r="C5" s="62" t="s">
        <v>56</v>
      </c>
      <c r="D5" s="11"/>
      <c r="E5" s="11"/>
      <c r="F5" s="12" t="s">
        <v>2749</v>
      </c>
      <c r="G5" s="60"/>
      <c r="H5" s="60"/>
      <c r="I5" s="74">
        <v>5</v>
      </c>
      <c r="J5" s="74"/>
      <c r="K5" s="45">
        <v>40</v>
      </c>
      <c r="L5" s="45">
        <v>39</v>
      </c>
      <c r="M5" s="45">
        <v>6</v>
      </c>
      <c r="N5" s="45">
        <v>45</v>
      </c>
      <c r="O5" s="45">
        <v>6</v>
      </c>
      <c r="P5" s="46">
        <v>0</v>
      </c>
      <c r="Q5" s="46">
        <v>0</v>
      </c>
      <c r="R5" s="45">
        <v>1</v>
      </c>
      <c r="S5" s="45">
        <v>0</v>
      </c>
      <c r="T5" s="45">
        <v>40</v>
      </c>
      <c r="U5" s="45">
        <v>45</v>
      </c>
      <c r="V5" s="45">
        <v>2</v>
      </c>
      <c r="W5" s="46">
        <v>1.90125</v>
      </c>
      <c r="X5" s="46">
        <v>0.025</v>
      </c>
      <c r="Y5" s="45">
        <v>0</v>
      </c>
      <c r="Z5" s="46">
        <v>0</v>
      </c>
      <c r="AA5" s="45">
        <v>0</v>
      </c>
      <c r="AB5" s="46">
        <v>0</v>
      </c>
      <c r="AC5" s="45">
        <v>0</v>
      </c>
      <c r="AD5" s="46">
        <v>0</v>
      </c>
      <c r="AE5" s="45">
        <v>0</v>
      </c>
      <c r="AF5" s="46">
        <v>0</v>
      </c>
      <c r="AG5" s="45">
        <v>0</v>
      </c>
      <c r="AH5" s="87" t="s">
        <v>1874</v>
      </c>
      <c r="AI5" s="87" t="s">
        <v>1874</v>
      </c>
    </row>
    <row r="6" spans="1:35" ht="15">
      <c r="A6" s="61" t="s">
        <v>2750</v>
      </c>
      <c r="B6" s="62" t="s">
        <v>2772</v>
      </c>
      <c r="C6" s="62" t="s">
        <v>56</v>
      </c>
      <c r="D6" s="11"/>
      <c r="E6" s="11"/>
      <c r="F6" s="12" t="s">
        <v>2750</v>
      </c>
      <c r="G6" s="60"/>
      <c r="H6" s="60"/>
      <c r="I6" s="74">
        <v>6</v>
      </c>
      <c r="J6" s="74"/>
      <c r="K6" s="45">
        <v>27</v>
      </c>
      <c r="L6" s="45">
        <v>23</v>
      </c>
      <c r="M6" s="45">
        <v>8</v>
      </c>
      <c r="N6" s="45">
        <v>31</v>
      </c>
      <c r="O6" s="45">
        <v>2</v>
      </c>
      <c r="P6" s="46">
        <v>0</v>
      </c>
      <c r="Q6" s="46">
        <v>0</v>
      </c>
      <c r="R6" s="45">
        <v>1</v>
      </c>
      <c r="S6" s="45">
        <v>0</v>
      </c>
      <c r="T6" s="45">
        <v>27</v>
      </c>
      <c r="U6" s="45">
        <v>31</v>
      </c>
      <c r="V6" s="45">
        <v>2</v>
      </c>
      <c r="W6" s="46">
        <v>1.854595</v>
      </c>
      <c r="X6" s="46">
        <v>0.037037037037037035</v>
      </c>
      <c r="Y6" s="45">
        <v>0</v>
      </c>
      <c r="Z6" s="46">
        <v>0</v>
      </c>
      <c r="AA6" s="45">
        <v>0</v>
      </c>
      <c r="AB6" s="46">
        <v>0</v>
      </c>
      <c r="AC6" s="45">
        <v>0</v>
      </c>
      <c r="AD6" s="46">
        <v>0</v>
      </c>
      <c r="AE6" s="45">
        <v>0</v>
      </c>
      <c r="AF6" s="46">
        <v>0</v>
      </c>
      <c r="AG6" s="45">
        <v>0</v>
      </c>
      <c r="AH6" s="87" t="s">
        <v>1874</v>
      </c>
      <c r="AI6" s="87" t="s">
        <v>1874</v>
      </c>
    </row>
    <row r="7" spans="1:35" ht="15">
      <c r="A7" s="61" t="s">
        <v>2751</v>
      </c>
      <c r="B7" s="62" t="s">
        <v>2773</v>
      </c>
      <c r="C7" s="62" t="s">
        <v>56</v>
      </c>
      <c r="D7" s="11"/>
      <c r="E7" s="11"/>
      <c r="F7" s="12" t="s">
        <v>2751</v>
      </c>
      <c r="G7" s="60"/>
      <c r="H7" s="60"/>
      <c r="I7" s="74">
        <v>7</v>
      </c>
      <c r="J7" s="74"/>
      <c r="K7" s="45">
        <v>26</v>
      </c>
      <c r="L7" s="45">
        <v>21</v>
      </c>
      <c r="M7" s="45">
        <v>11</v>
      </c>
      <c r="N7" s="45">
        <v>32</v>
      </c>
      <c r="O7" s="45">
        <v>3</v>
      </c>
      <c r="P7" s="46">
        <v>0</v>
      </c>
      <c r="Q7" s="46">
        <v>0</v>
      </c>
      <c r="R7" s="45">
        <v>1</v>
      </c>
      <c r="S7" s="45">
        <v>0</v>
      </c>
      <c r="T7" s="45">
        <v>26</v>
      </c>
      <c r="U7" s="45">
        <v>32</v>
      </c>
      <c r="V7" s="45">
        <v>2</v>
      </c>
      <c r="W7" s="46">
        <v>1.849112</v>
      </c>
      <c r="X7" s="46">
        <v>0.038461538461538464</v>
      </c>
      <c r="Y7" s="45">
        <v>0</v>
      </c>
      <c r="Z7" s="46">
        <v>0</v>
      </c>
      <c r="AA7" s="45">
        <v>0</v>
      </c>
      <c r="AB7" s="46">
        <v>0</v>
      </c>
      <c r="AC7" s="45">
        <v>0</v>
      </c>
      <c r="AD7" s="46">
        <v>0</v>
      </c>
      <c r="AE7" s="45">
        <v>0</v>
      </c>
      <c r="AF7" s="46">
        <v>0</v>
      </c>
      <c r="AG7" s="45">
        <v>0</v>
      </c>
      <c r="AH7" s="87" t="s">
        <v>1874</v>
      </c>
      <c r="AI7" s="87" t="s">
        <v>1874</v>
      </c>
    </row>
    <row r="8" spans="1:35" ht="15">
      <c r="A8" s="61" t="s">
        <v>2752</v>
      </c>
      <c r="B8" s="62" t="s">
        <v>2774</v>
      </c>
      <c r="C8" s="62" t="s">
        <v>56</v>
      </c>
      <c r="D8" s="11"/>
      <c r="E8" s="11"/>
      <c r="F8" s="12" t="s">
        <v>2752</v>
      </c>
      <c r="G8" s="60"/>
      <c r="H8" s="60"/>
      <c r="I8" s="74">
        <v>8</v>
      </c>
      <c r="J8" s="74"/>
      <c r="K8" s="45">
        <v>22</v>
      </c>
      <c r="L8" s="45">
        <v>15</v>
      </c>
      <c r="M8" s="45">
        <v>25</v>
      </c>
      <c r="N8" s="45">
        <v>40</v>
      </c>
      <c r="O8" s="45">
        <v>40</v>
      </c>
      <c r="P8" s="46" t="s">
        <v>2784</v>
      </c>
      <c r="Q8" s="46" t="s">
        <v>2784</v>
      </c>
      <c r="R8" s="45">
        <v>22</v>
      </c>
      <c r="S8" s="45">
        <v>22</v>
      </c>
      <c r="T8" s="45">
        <v>1</v>
      </c>
      <c r="U8" s="45">
        <v>7</v>
      </c>
      <c r="V8" s="45">
        <v>0</v>
      </c>
      <c r="W8" s="46">
        <v>0</v>
      </c>
      <c r="X8" s="46">
        <v>0</v>
      </c>
      <c r="Y8" s="45">
        <v>0</v>
      </c>
      <c r="Z8" s="46">
        <v>0</v>
      </c>
      <c r="AA8" s="45">
        <v>0</v>
      </c>
      <c r="AB8" s="46">
        <v>0</v>
      </c>
      <c r="AC8" s="45">
        <v>0</v>
      </c>
      <c r="AD8" s="46">
        <v>0</v>
      </c>
      <c r="AE8" s="45">
        <v>0</v>
      </c>
      <c r="AF8" s="46">
        <v>0</v>
      </c>
      <c r="AG8" s="45">
        <v>0</v>
      </c>
      <c r="AH8" s="87" t="s">
        <v>1874</v>
      </c>
      <c r="AI8" s="87" t="s">
        <v>1874</v>
      </c>
    </row>
    <row r="9" spans="1:35" ht="15">
      <c r="A9" s="61" t="s">
        <v>2753</v>
      </c>
      <c r="B9" s="62" t="s">
        <v>2775</v>
      </c>
      <c r="C9" s="62" t="s">
        <v>56</v>
      </c>
      <c r="D9" s="11"/>
      <c r="E9" s="11"/>
      <c r="F9" s="12" t="s">
        <v>2753</v>
      </c>
      <c r="G9" s="60"/>
      <c r="H9" s="60"/>
      <c r="I9" s="74">
        <v>9</v>
      </c>
      <c r="J9" s="74"/>
      <c r="K9" s="45">
        <v>21</v>
      </c>
      <c r="L9" s="45">
        <v>18</v>
      </c>
      <c r="M9" s="45">
        <v>7</v>
      </c>
      <c r="N9" s="45">
        <v>25</v>
      </c>
      <c r="O9" s="45">
        <v>3</v>
      </c>
      <c r="P9" s="46">
        <v>0</v>
      </c>
      <c r="Q9" s="46">
        <v>0</v>
      </c>
      <c r="R9" s="45">
        <v>1</v>
      </c>
      <c r="S9" s="45">
        <v>0</v>
      </c>
      <c r="T9" s="45">
        <v>21</v>
      </c>
      <c r="U9" s="45">
        <v>25</v>
      </c>
      <c r="V9" s="45">
        <v>2</v>
      </c>
      <c r="W9" s="46">
        <v>1.814059</v>
      </c>
      <c r="X9" s="46">
        <v>0.047619047619047616</v>
      </c>
      <c r="Y9" s="45">
        <v>0</v>
      </c>
      <c r="Z9" s="46">
        <v>0</v>
      </c>
      <c r="AA9" s="45">
        <v>0</v>
      </c>
      <c r="AB9" s="46">
        <v>0</v>
      </c>
      <c r="AC9" s="45">
        <v>0</v>
      </c>
      <c r="AD9" s="46">
        <v>0</v>
      </c>
      <c r="AE9" s="45">
        <v>0</v>
      </c>
      <c r="AF9" s="46">
        <v>0</v>
      </c>
      <c r="AG9" s="45">
        <v>0</v>
      </c>
      <c r="AH9" s="87" t="s">
        <v>1874</v>
      </c>
      <c r="AI9" s="87" t="s">
        <v>1874</v>
      </c>
    </row>
    <row r="10" spans="1:35" ht="14.25" customHeight="1">
      <c r="A10" s="61" t="s">
        <v>2754</v>
      </c>
      <c r="B10" s="62" t="s">
        <v>2776</v>
      </c>
      <c r="C10" s="62" t="s">
        <v>56</v>
      </c>
      <c r="D10" s="11"/>
      <c r="E10" s="11"/>
      <c r="F10" s="12" t="s">
        <v>2754</v>
      </c>
      <c r="G10" s="60"/>
      <c r="H10" s="60"/>
      <c r="I10" s="74">
        <v>10</v>
      </c>
      <c r="J10" s="74"/>
      <c r="K10" s="45">
        <v>17</v>
      </c>
      <c r="L10" s="45">
        <v>16</v>
      </c>
      <c r="M10" s="45">
        <v>3</v>
      </c>
      <c r="N10" s="45">
        <v>19</v>
      </c>
      <c r="O10" s="45">
        <v>1</v>
      </c>
      <c r="P10" s="46">
        <v>0</v>
      </c>
      <c r="Q10" s="46">
        <v>0</v>
      </c>
      <c r="R10" s="45">
        <v>1</v>
      </c>
      <c r="S10" s="45">
        <v>0</v>
      </c>
      <c r="T10" s="45">
        <v>17</v>
      </c>
      <c r="U10" s="45">
        <v>19</v>
      </c>
      <c r="V10" s="45">
        <v>2</v>
      </c>
      <c r="W10" s="46">
        <v>1.771626</v>
      </c>
      <c r="X10" s="46">
        <v>0.058823529411764705</v>
      </c>
      <c r="Y10" s="45">
        <v>0</v>
      </c>
      <c r="Z10" s="46">
        <v>0</v>
      </c>
      <c r="AA10" s="45">
        <v>0</v>
      </c>
      <c r="AB10" s="46">
        <v>0</v>
      </c>
      <c r="AC10" s="45">
        <v>0</v>
      </c>
      <c r="AD10" s="46">
        <v>0</v>
      </c>
      <c r="AE10" s="45">
        <v>0</v>
      </c>
      <c r="AF10" s="46">
        <v>0</v>
      </c>
      <c r="AG10" s="45">
        <v>0</v>
      </c>
      <c r="AH10" s="87" t="s">
        <v>1874</v>
      </c>
      <c r="AI10" s="87" t="s">
        <v>1874</v>
      </c>
    </row>
    <row r="11" spans="1:35" ht="15">
      <c r="A11" s="61" t="s">
        <v>2755</v>
      </c>
      <c r="B11" s="62" t="s">
        <v>2777</v>
      </c>
      <c r="C11" s="62" t="s">
        <v>56</v>
      </c>
      <c r="D11" s="11"/>
      <c r="E11" s="11"/>
      <c r="F11" s="12" t="s">
        <v>2755</v>
      </c>
      <c r="G11" s="60"/>
      <c r="H11" s="60"/>
      <c r="I11" s="74">
        <v>11</v>
      </c>
      <c r="J11" s="74"/>
      <c r="K11" s="45">
        <v>15</v>
      </c>
      <c r="L11" s="45">
        <v>13</v>
      </c>
      <c r="M11" s="45">
        <v>8</v>
      </c>
      <c r="N11" s="45">
        <v>21</v>
      </c>
      <c r="O11" s="45">
        <v>4</v>
      </c>
      <c r="P11" s="46">
        <v>0</v>
      </c>
      <c r="Q11" s="46">
        <v>0</v>
      </c>
      <c r="R11" s="45">
        <v>1</v>
      </c>
      <c r="S11" s="45">
        <v>0</v>
      </c>
      <c r="T11" s="45">
        <v>15</v>
      </c>
      <c r="U11" s="45">
        <v>21</v>
      </c>
      <c r="V11" s="45">
        <v>3</v>
      </c>
      <c r="W11" s="46">
        <v>2.115556</v>
      </c>
      <c r="X11" s="46">
        <v>0.06666666666666667</v>
      </c>
      <c r="Y11" s="45">
        <v>0</v>
      </c>
      <c r="Z11" s="46">
        <v>0</v>
      </c>
      <c r="AA11" s="45">
        <v>0</v>
      </c>
      <c r="AB11" s="46">
        <v>0</v>
      </c>
      <c r="AC11" s="45">
        <v>0</v>
      </c>
      <c r="AD11" s="46">
        <v>0</v>
      </c>
      <c r="AE11" s="45">
        <v>0</v>
      </c>
      <c r="AF11" s="46">
        <v>0</v>
      </c>
      <c r="AG11" s="45">
        <v>0</v>
      </c>
      <c r="AH11" s="87" t="s">
        <v>1874</v>
      </c>
      <c r="AI11" s="87" t="s">
        <v>1874</v>
      </c>
    </row>
    <row r="12" spans="1:35" ht="15">
      <c r="A12" s="61" t="s">
        <v>2756</v>
      </c>
      <c r="B12" s="62" t="s">
        <v>2778</v>
      </c>
      <c r="C12" s="62" t="s">
        <v>56</v>
      </c>
      <c r="D12" s="11"/>
      <c r="E12" s="11"/>
      <c r="F12" s="12" t="s">
        <v>2756</v>
      </c>
      <c r="G12" s="60"/>
      <c r="H12" s="60"/>
      <c r="I12" s="74">
        <v>12</v>
      </c>
      <c r="J12" s="74"/>
      <c r="K12" s="45">
        <v>15</v>
      </c>
      <c r="L12" s="45">
        <v>12</v>
      </c>
      <c r="M12" s="45">
        <v>9</v>
      </c>
      <c r="N12" s="45">
        <v>21</v>
      </c>
      <c r="O12" s="45">
        <v>4</v>
      </c>
      <c r="P12" s="46">
        <v>0</v>
      </c>
      <c r="Q12" s="46">
        <v>0</v>
      </c>
      <c r="R12" s="45">
        <v>1</v>
      </c>
      <c r="S12" s="45">
        <v>0</v>
      </c>
      <c r="T12" s="45">
        <v>15</v>
      </c>
      <c r="U12" s="45">
        <v>21</v>
      </c>
      <c r="V12" s="45">
        <v>4</v>
      </c>
      <c r="W12" s="46">
        <v>2.044444</v>
      </c>
      <c r="X12" s="46">
        <v>0.06666666666666667</v>
      </c>
      <c r="Y12" s="45">
        <v>0</v>
      </c>
      <c r="Z12" s="46">
        <v>0</v>
      </c>
      <c r="AA12" s="45">
        <v>0</v>
      </c>
      <c r="AB12" s="46">
        <v>0</v>
      </c>
      <c r="AC12" s="45">
        <v>0</v>
      </c>
      <c r="AD12" s="46">
        <v>0</v>
      </c>
      <c r="AE12" s="45">
        <v>0</v>
      </c>
      <c r="AF12" s="46">
        <v>0</v>
      </c>
      <c r="AG12" s="45">
        <v>0</v>
      </c>
      <c r="AH12" s="87" t="s">
        <v>1874</v>
      </c>
      <c r="AI12" s="87" t="s">
        <v>1874</v>
      </c>
    </row>
    <row r="13" spans="1:35" ht="15">
      <c r="A13" s="61" t="s">
        <v>2757</v>
      </c>
      <c r="B13" s="62" t="s">
        <v>2779</v>
      </c>
      <c r="C13" s="62" t="s">
        <v>56</v>
      </c>
      <c r="D13" s="11"/>
      <c r="E13" s="11"/>
      <c r="F13" s="12" t="s">
        <v>2757</v>
      </c>
      <c r="G13" s="60"/>
      <c r="H13" s="60"/>
      <c r="I13" s="74">
        <v>13</v>
      </c>
      <c r="J13" s="74"/>
      <c r="K13" s="45">
        <v>14</v>
      </c>
      <c r="L13" s="45">
        <v>13</v>
      </c>
      <c r="M13" s="45">
        <v>4</v>
      </c>
      <c r="N13" s="45">
        <v>17</v>
      </c>
      <c r="O13" s="45">
        <v>4</v>
      </c>
      <c r="P13" s="46">
        <v>0</v>
      </c>
      <c r="Q13" s="46">
        <v>0</v>
      </c>
      <c r="R13" s="45">
        <v>1</v>
      </c>
      <c r="S13" s="45">
        <v>0</v>
      </c>
      <c r="T13" s="45">
        <v>14</v>
      </c>
      <c r="U13" s="45">
        <v>17</v>
      </c>
      <c r="V13" s="45">
        <v>2</v>
      </c>
      <c r="W13" s="46">
        <v>1.72449</v>
      </c>
      <c r="X13" s="46">
        <v>0.07142857142857142</v>
      </c>
      <c r="Y13" s="45">
        <v>0</v>
      </c>
      <c r="Z13" s="46">
        <v>0</v>
      </c>
      <c r="AA13" s="45">
        <v>0</v>
      </c>
      <c r="AB13" s="46">
        <v>0</v>
      </c>
      <c r="AC13" s="45">
        <v>0</v>
      </c>
      <c r="AD13" s="46">
        <v>0</v>
      </c>
      <c r="AE13" s="45">
        <v>0</v>
      </c>
      <c r="AF13" s="46">
        <v>0</v>
      </c>
      <c r="AG13" s="45">
        <v>0</v>
      </c>
      <c r="AH13" s="87" t="s">
        <v>1874</v>
      </c>
      <c r="AI13" s="87" t="s">
        <v>1874</v>
      </c>
    </row>
    <row r="14" spans="1:35" ht="15">
      <c r="A14" s="61" t="s">
        <v>2758</v>
      </c>
      <c r="B14" s="62" t="s">
        <v>2780</v>
      </c>
      <c r="C14" s="62" t="s">
        <v>56</v>
      </c>
      <c r="D14" s="11"/>
      <c r="E14" s="11"/>
      <c r="F14" s="12" t="s">
        <v>2758</v>
      </c>
      <c r="G14" s="60"/>
      <c r="H14" s="60"/>
      <c r="I14" s="74">
        <v>14</v>
      </c>
      <c r="J14" s="74"/>
      <c r="K14" s="45">
        <v>10</v>
      </c>
      <c r="L14" s="45">
        <v>9</v>
      </c>
      <c r="M14" s="45">
        <v>4</v>
      </c>
      <c r="N14" s="45">
        <v>13</v>
      </c>
      <c r="O14" s="45">
        <v>4</v>
      </c>
      <c r="P14" s="46">
        <v>0</v>
      </c>
      <c r="Q14" s="46">
        <v>0</v>
      </c>
      <c r="R14" s="45">
        <v>1</v>
      </c>
      <c r="S14" s="45">
        <v>0</v>
      </c>
      <c r="T14" s="45">
        <v>10</v>
      </c>
      <c r="U14" s="45">
        <v>13</v>
      </c>
      <c r="V14" s="45">
        <v>2</v>
      </c>
      <c r="W14" s="46">
        <v>1.62</v>
      </c>
      <c r="X14" s="46">
        <v>0.1</v>
      </c>
      <c r="Y14" s="45">
        <v>0</v>
      </c>
      <c r="Z14" s="46">
        <v>0</v>
      </c>
      <c r="AA14" s="45">
        <v>0</v>
      </c>
      <c r="AB14" s="46">
        <v>0</v>
      </c>
      <c r="AC14" s="45">
        <v>0</v>
      </c>
      <c r="AD14" s="46">
        <v>0</v>
      </c>
      <c r="AE14" s="45">
        <v>0</v>
      </c>
      <c r="AF14" s="46">
        <v>0</v>
      </c>
      <c r="AG14" s="45">
        <v>0</v>
      </c>
      <c r="AH14" s="87" t="s">
        <v>1874</v>
      </c>
      <c r="AI14" s="87" t="s">
        <v>1874</v>
      </c>
    </row>
    <row r="15" spans="1:35" ht="15">
      <c r="A15" s="61" t="s">
        <v>2759</v>
      </c>
      <c r="B15" s="62" t="s">
        <v>2769</v>
      </c>
      <c r="C15" s="62" t="s">
        <v>59</v>
      </c>
      <c r="D15" s="11"/>
      <c r="E15" s="11"/>
      <c r="F15" s="12" t="s">
        <v>2759</v>
      </c>
      <c r="G15" s="60"/>
      <c r="H15" s="60"/>
      <c r="I15" s="74">
        <v>15</v>
      </c>
      <c r="J15" s="74"/>
      <c r="K15" s="45">
        <v>8</v>
      </c>
      <c r="L15" s="45">
        <v>7</v>
      </c>
      <c r="M15" s="45">
        <v>2</v>
      </c>
      <c r="N15" s="45">
        <v>9</v>
      </c>
      <c r="O15" s="45">
        <v>2</v>
      </c>
      <c r="P15" s="46">
        <v>0</v>
      </c>
      <c r="Q15" s="46">
        <v>0</v>
      </c>
      <c r="R15" s="45">
        <v>1</v>
      </c>
      <c r="S15" s="45">
        <v>0</v>
      </c>
      <c r="T15" s="45">
        <v>8</v>
      </c>
      <c r="U15" s="45">
        <v>9</v>
      </c>
      <c r="V15" s="45">
        <v>2</v>
      </c>
      <c r="W15" s="46">
        <v>1.53125</v>
      </c>
      <c r="X15" s="46">
        <v>0.125</v>
      </c>
      <c r="Y15" s="45">
        <v>0</v>
      </c>
      <c r="Z15" s="46">
        <v>0</v>
      </c>
      <c r="AA15" s="45">
        <v>0</v>
      </c>
      <c r="AB15" s="46">
        <v>0</v>
      </c>
      <c r="AC15" s="45">
        <v>0</v>
      </c>
      <c r="AD15" s="46">
        <v>0</v>
      </c>
      <c r="AE15" s="45">
        <v>0</v>
      </c>
      <c r="AF15" s="46">
        <v>0</v>
      </c>
      <c r="AG15" s="45">
        <v>0</v>
      </c>
      <c r="AH15" s="87" t="s">
        <v>1874</v>
      </c>
      <c r="AI15" s="87" t="s">
        <v>1874</v>
      </c>
    </row>
    <row r="16" spans="1:35" ht="15">
      <c r="A16" s="61" t="s">
        <v>2760</v>
      </c>
      <c r="B16" s="62" t="s">
        <v>2770</v>
      </c>
      <c r="C16" s="62" t="s">
        <v>59</v>
      </c>
      <c r="D16" s="11"/>
      <c r="E16" s="11"/>
      <c r="F16" s="12" t="s">
        <v>2760</v>
      </c>
      <c r="G16" s="60"/>
      <c r="H16" s="60"/>
      <c r="I16" s="74">
        <v>16</v>
      </c>
      <c r="J16" s="74"/>
      <c r="K16" s="45">
        <v>5</v>
      </c>
      <c r="L16" s="45">
        <v>4</v>
      </c>
      <c r="M16" s="45">
        <v>4</v>
      </c>
      <c r="N16" s="45">
        <v>8</v>
      </c>
      <c r="O16" s="45">
        <v>4</v>
      </c>
      <c r="P16" s="46">
        <v>0</v>
      </c>
      <c r="Q16" s="46">
        <v>0</v>
      </c>
      <c r="R16" s="45">
        <v>1</v>
      </c>
      <c r="S16" s="45">
        <v>0</v>
      </c>
      <c r="T16" s="45">
        <v>5</v>
      </c>
      <c r="U16" s="45">
        <v>8</v>
      </c>
      <c r="V16" s="45">
        <v>2</v>
      </c>
      <c r="W16" s="46">
        <v>1.28</v>
      </c>
      <c r="X16" s="46">
        <v>0.2</v>
      </c>
      <c r="Y16" s="45">
        <v>0</v>
      </c>
      <c r="Z16" s="46">
        <v>0</v>
      </c>
      <c r="AA16" s="45">
        <v>0</v>
      </c>
      <c r="AB16" s="46">
        <v>0</v>
      </c>
      <c r="AC16" s="45">
        <v>0</v>
      </c>
      <c r="AD16" s="46">
        <v>0</v>
      </c>
      <c r="AE16" s="45">
        <v>0</v>
      </c>
      <c r="AF16" s="46">
        <v>0</v>
      </c>
      <c r="AG16" s="45">
        <v>0</v>
      </c>
      <c r="AH16" s="87" t="s">
        <v>1874</v>
      </c>
      <c r="AI16" s="87" t="s">
        <v>1874</v>
      </c>
    </row>
    <row r="17" spans="1:35" ht="15">
      <c r="A17" s="61" t="s">
        <v>2761</v>
      </c>
      <c r="B17" s="62" t="s">
        <v>2771</v>
      </c>
      <c r="C17" s="62" t="s">
        <v>59</v>
      </c>
      <c r="D17" s="11"/>
      <c r="E17" s="11"/>
      <c r="F17" s="12" t="s">
        <v>2761</v>
      </c>
      <c r="G17" s="60"/>
      <c r="H17" s="60"/>
      <c r="I17" s="74">
        <v>17</v>
      </c>
      <c r="J17" s="74"/>
      <c r="K17" s="45">
        <v>4</v>
      </c>
      <c r="L17" s="45">
        <v>4</v>
      </c>
      <c r="M17" s="45">
        <v>0</v>
      </c>
      <c r="N17" s="45">
        <v>4</v>
      </c>
      <c r="O17" s="45">
        <v>1</v>
      </c>
      <c r="P17" s="46">
        <v>0</v>
      </c>
      <c r="Q17" s="46">
        <v>0</v>
      </c>
      <c r="R17" s="45">
        <v>1</v>
      </c>
      <c r="S17" s="45">
        <v>0</v>
      </c>
      <c r="T17" s="45">
        <v>4</v>
      </c>
      <c r="U17" s="45">
        <v>4</v>
      </c>
      <c r="V17" s="45">
        <v>2</v>
      </c>
      <c r="W17" s="46">
        <v>1.125</v>
      </c>
      <c r="X17" s="46">
        <v>0.25</v>
      </c>
      <c r="Y17" s="45">
        <v>0</v>
      </c>
      <c r="Z17" s="46">
        <v>0</v>
      </c>
      <c r="AA17" s="45">
        <v>0</v>
      </c>
      <c r="AB17" s="46">
        <v>0</v>
      </c>
      <c r="AC17" s="45">
        <v>0</v>
      </c>
      <c r="AD17" s="46">
        <v>0</v>
      </c>
      <c r="AE17" s="45">
        <v>0</v>
      </c>
      <c r="AF17" s="46">
        <v>0</v>
      </c>
      <c r="AG17" s="45">
        <v>0</v>
      </c>
      <c r="AH17" s="87" t="s">
        <v>1874</v>
      </c>
      <c r="AI17" s="87" t="s">
        <v>1874</v>
      </c>
    </row>
    <row r="18" spans="1:35" ht="15">
      <c r="A18" s="61" t="s">
        <v>2762</v>
      </c>
      <c r="B18" s="62" t="s">
        <v>2772</v>
      </c>
      <c r="C18" s="62" t="s">
        <v>59</v>
      </c>
      <c r="D18" s="11"/>
      <c r="E18" s="11"/>
      <c r="F18" s="12" t="s">
        <v>2762</v>
      </c>
      <c r="G18" s="60"/>
      <c r="H18" s="60"/>
      <c r="I18" s="74">
        <v>18</v>
      </c>
      <c r="J18" s="74"/>
      <c r="K18" s="45">
        <v>3</v>
      </c>
      <c r="L18" s="45">
        <v>2</v>
      </c>
      <c r="M18" s="45">
        <v>2</v>
      </c>
      <c r="N18" s="45">
        <v>4</v>
      </c>
      <c r="O18" s="45">
        <v>2</v>
      </c>
      <c r="P18" s="46">
        <v>0</v>
      </c>
      <c r="Q18" s="46">
        <v>0</v>
      </c>
      <c r="R18" s="45">
        <v>1</v>
      </c>
      <c r="S18" s="45">
        <v>0</v>
      </c>
      <c r="T18" s="45">
        <v>3</v>
      </c>
      <c r="U18" s="45">
        <v>4</v>
      </c>
      <c r="V18" s="45">
        <v>2</v>
      </c>
      <c r="W18" s="46">
        <v>0.888889</v>
      </c>
      <c r="X18" s="46">
        <v>0.3333333333333333</v>
      </c>
      <c r="Y18" s="45">
        <v>0</v>
      </c>
      <c r="Z18" s="46">
        <v>0</v>
      </c>
      <c r="AA18" s="45">
        <v>0</v>
      </c>
      <c r="AB18" s="46">
        <v>0</v>
      </c>
      <c r="AC18" s="45">
        <v>0</v>
      </c>
      <c r="AD18" s="46">
        <v>0</v>
      </c>
      <c r="AE18" s="45">
        <v>0</v>
      </c>
      <c r="AF18" s="46">
        <v>0</v>
      </c>
      <c r="AG18" s="45">
        <v>0</v>
      </c>
      <c r="AH18" s="87" t="s">
        <v>1874</v>
      </c>
      <c r="AI18" s="87" t="s">
        <v>1874</v>
      </c>
    </row>
    <row r="19" spans="1:35" ht="15">
      <c r="A19" s="61" t="s">
        <v>2763</v>
      </c>
      <c r="B19" s="62" t="s">
        <v>2773</v>
      </c>
      <c r="C19" s="62" t="s">
        <v>59</v>
      </c>
      <c r="D19" s="11"/>
      <c r="E19" s="11"/>
      <c r="F19" s="12" t="s">
        <v>2763</v>
      </c>
      <c r="G19" s="60"/>
      <c r="H19" s="60"/>
      <c r="I19" s="74">
        <v>19</v>
      </c>
      <c r="J19" s="74"/>
      <c r="K19" s="45">
        <v>3</v>
      </c>
      <c r="L19" s="45">
        <v>2</v>
      </c>
      <c r="M19" s="45">
        <v>4</v>
      </c>
      <c r="N19" s="45">
        <v>6</v>
      </c>
      <c r="O19" s="45">
        <v>4</v>
      </c>
      <c r="P19" s="46">
        <v>0</v>
      </c>
      <c r="Q19" s="46">
        <v>0</v>
      </c>
      <c r="R19" s="45">
        <v>1</v>
      </c>
      <c r="S19" s="45">
        <v>0</v>
      </c>
      <c r="T19" s="45">
        <v>3</v>
      </c>
      <c r="U19" s="45">
        <v>6</v>
      </c>
      <c r="V19" s="45">
        <v>2</v>
      </c>
      <c r="W19" s="46">
        <v>0.888889</v>
      </c>
      <c r="X19" s="46">
        <v>0.3333333333333333</v>
      </c>
      <c r="Y19" s="45">
        <v>0</v>
      </c>
      <c r="Z19" s="46">
        <v>0</v>
      </c>
      <c r="AA19" s="45">
        <v>0</v>
      </c>
      <c r="AB19" s="46">
        <v>0</v>
      </c>
      <c r="AC19" s="45">
        <v>0</v>
      </c>
      <c r="AD19" s="46">
        <v>0</v>
      </c>
      <c r="AE19" s="45">
        <v>0</v>
      </c>
      <c r="AF19" s="46">
        <v>0</v>
      </c>
      <c r="AG19" s="45">
        <v>0</v>
      </c>
      <c r="AH19" s="87" t="s">
        <v>1874</v>
      </c>
      <c r="AI19" s="87" t="s">
        <v>1874</v>
      </c>
    </row>
    <row r="20" spans="1:35" ht="15">
      <c r="A20" s="61" t="s">
        <v>2764</v>
      </c>
      <c r="B20" s="62" t="s">
        <v>2774</v>
      </c>
      <c r="C20" s="62" t="s">
        <v>59</v>
      </c>
      <c r="D20" s="11"/>
      <c r="E20" s="11"/>
      <c r="F20" s="12" t="s">
        <v>2764</v>
      </c>
      <c r="G20" s="60"/>
      <c r="H20" s="60"/>
      <c r="I20" s="74">
        <v>20</v>
      </c>
      <c r="J20" s="74"/>
      <c r="K20" s="45">
        <v>3</v>
      </c>
      <c r="L20" s="45">
        <v>3</v>
      </c>
      <c r="M20" s="45">
        <v>0</v>
      </c>
      <c r="N20" s="45">
        <v>3</v>
      </c>
      <c r="O20" s="45">
        <v>1</v>
      </c>
      <c r="P20" s="46">
        <v>0</v>
      </c>
      <c r="Q20" s="46">
        <v>0</v>
      </c>
      <c r="R20" s="45">
        <v>1</v>
      </c>
      <c r="S20" s="45">
        <v>0</v>
      </c>
      <c r="T20" s="45">
        <v>3</v>
      </c>
      <c r="U20" s="45">
        <v>3</v>
      </c>
      <c r="V20" s="45">
        <v>2</v>
      </c>
      <c r="W20" s="46">
        <v>0.888889</v>
      </c>
      <c r="X20" s="46">
        <v>0.3333333333333333</v>
      </c>
      <c r="Y20" s="45">
        <v>0</v>
      </c>
      <c r="Z20" s="46">
        <v>0</v>
      </c>
      <c r="AA20" s="45">
        <v>0</v>
      </c>
      <c r="AB20" s="46">
        <v>0</v>
      </c>
      <c r="AC20" s="45">
        <v>0</v>
      </c>
      <c r="AD20" s="46">
        <v>0</v>
      </c>
      <c r="AE20" s="45">
        <v>0</v>
      </c>
      <c r="AF20" s="46">
        <v>0</v>
      </c>
      <c r="AG20" s="45">
        <v>0</v>
      </c>
      <c r="AH20" s="87" t="s">
        <v>1874</v>
      </c>
      <c r="AI20" s="87" t="s">
        <v>1874</v>
      </c>
    </row>
    <row r="21" spans="1:35" ht="15">
      <c r="A21" s="61" t="s">
        <v>2765</v>
      </c>
      <c r="B21" s="62" t="s">
        <v>2775</v>
      </c>
      <c r="C21" s="62" t="s">
        <v>59</v>
      </c>
      <c r="D21" s="11"/>
      <c r="E21" s="11"/>
      <c r="F21" s="12" t="s">
        <v>2765</v>
      </c>
      <c r="G21" s="60"/>
      <c r="H21" s="60"/>
      <c r="I21" s="74">
        <v>21</v>
      </c>
      <c r="J21" s="74"/>
      <c r="K21" s="45">
        <v>3</v>
      </c>
      <c r="L21" s="45">
        <v>3</v>
      </c>
      <c r="M21" s="45">
        <v>0</v>
      </c>
      <c r="N21" s="45">
        <v>3</v>
      </c>
      <c r="O21" s="45">
        <v>1</v>
      </c>
      <c r="P21" s="46">
        <v>0</v>
      </c>
      <c r="Q21" s="46">
        <v>0</v>
      </c>
      <c r="R21" s="45">
        <v>1</v>
      </c>
      <c r="S21" s="45">
        <v>0</v>
      </c>
      <c r="T21" s="45">
        <v>3</v>
      </c>
      <c r="U21" s="45">
        <v>3</v>
      </c>
      <c r="V21" s="45">
        <v>2</v>
      </c>
      <c r="W21" s="46">
        <v>0.888889</v>
      </c>
      <c r="X21" s="46">
        <v>0.3333333333333333</v>
      </c>
      <c r="Y21" s="45">
        <v>0</v>
      </c>
      <c r="Z21" s="46">
        <v>0</v>
      </c>
      <c r="AA21" s="45">
        <v>0</v>
      </c>
      <c r="AB21" s="46">
        <v>0</v>
      </c>
      <c r="AC21" s="45">
        <v>0</v>
      </c>
      <c r="AD21" s="46">
        <v>0</v>
      </c>
      <c r="AE21" s="45">
        <v>0</v>
      </c>
      <c r="AF21" s="46">
        <v>0</v>
      </c>
      <c r="AG21" s="45">
        <v>0</v>
      </c>
      <c r="AH21" s="87" t="s">
        <v>1874</v>
      </c>
      <c r="AI21" s="87" t="s">
        <v>1874</v>
      </c>
    </row>
    <row r="22" spans="1:35" ht="15">
      <c r="A22" s="61" t="s">
        <v>2766</v>
      </c>
      <c r="B22" s="62" t="s">
        <v>2776</v>
      </c>
      <c r="C22" s="62" t="s">
        <v>59</v>
      </c>
      <c r="D22" s="11"/>
      <c r="E22" s="11"/>
      <c r="F22" s="12" t="s">
        <v>2766</v>
      </c>
      <c r="G22" s="60"/>
      <c r="H22" s="60"/>
      <c r="I22" s="74">
        <v>22</v>
      </c>
      <c r="J22" s="74"/>
      <c r="K22" s="45">
        <v>2</v>
      </c>
      <c r="L22" s="45">
        <v>0</v>
      </c>
      <c r="M22" s="45">
        <v>5</v>
      </c>
      <c r="N22" s="45">
        <v>5</v>
      </c>
      <c r="O22" s="45">
        <v>2</v>
      </c>
      <c r="P22" s="46">
        <v>0</v>
      </c>
      <c r="Q22" s="46">
        <v>0</v>
      </c>
      <c r="R22" s="45">
        <v>1</v>
      </c>
      <c r="S22" s="45">
        <v>0</v>
      </c>
      <c r="T22" s="45">
        <v>2</v>
      </c>
      <c r="U22" s="45">
        <v>5</v>
      </c>
      <c r="V22" s="45">
        <v>1</v>
      </c>
      <c r="W22" s="46">
        <v>0.5</v>
      </c>
      <c r="X22" s="46">
        <v>0.5</v>
      </c>
      <c r="Y22" s="45">
        <v>0</v>
      </c>
      <c r="Z22" s="46">
        <v>0</v>
      </c>
      <c r="AA22" s="45">
        <v>0</v>
      </c>
      <c r="AB22" s="46">
        <v>0</v>
      </c>
      <c r="AC22" s="45">
        <v>0</v>
      </c>
      <c r="AD22" s="46">
        <v>0</v>
      </c>
      <c r="AE22" s="45">
        <v>0</v>
      </c>
      <c r="AF22" s="46">
        <v>0</v>
      </c>
      <c r="AG22" s="45">
        <v>0</v>
      </c>
      <c r="AH22" s="87" t="s">
        <v>1874</v>
      </c>
      <c r="AI22" s="87" t="s">
        <v>1874</v>
      </c>
    </row>
    <row r="23" spans="1:35" ht="15">
      <c r="A23" s="61" t="s">
        <v>2767</v>
      </c>
      <c r="B23" s="62" t="s">
        <v>2777</v>
      </c>
      <c r="C23" s="62" t="s">
        <v>59</v>
      </c>
      <c r="D23" s="11"/>
      <c r="E23" s="11"/>
      <c r="F23" s="12" t="s">
        <v>2767</v>
      </c>
      <c r="G23" s="60"/>
      <c r="H23" s="60"/>
      <c r="I23" s="74">
        <v>23</v>
      </c>
      <c r="J23" s="74"/>
      <c r="K23" s="45">
        <v>2</v>
      </c>
      <c r="L23" s="45">
        <v>2</v>
      </c>
      <c r="M23" s="45">
        <v>0</v>
      </c>
      <c r="N23" s="45">
        <v>2</v>
      </c>
      <c r="O23" s="45">
        <v>1</v>
      </c>
      <c r="P23" s="46">
        <v>0</v>
      </c>
      <c r="Q23" s="46">
        <v>0</v>
      </c>
      <c r="R23" s="45">
        <v>1</v>
      </c>
      <c r="S23" s="45">
        <v>0</v>
      </c>
      <c r="T23" s="45">
        <v>2</v>
      </c>
      <c r="U23" s="45">
        <v>2</v>
      </c>
      <c r="V23" s="45">
        <v>1</v>
      </c>
      <c r="W23" s="46">
        <v>0.5</v>
      </c>
      <c r="X23" s="46">
        <v>0.5</v>
      </c>
      <c r="Y23" s="45">
        <v>0</v>
      </c>
      <c r="Z23" s="46">
        <v>0</v>
      </c>
      <c r="AA23" s="45">
        <v>0</v>
      </c>
      <c r="AB23" s="46">
        <v>0</v>
      </c>
      <c r="AC23" s="45">
        <v>0</v>
      </c>
      <c r="AD23" s="46">
        <v>0</v>
      </c>
      <c r="AE23" s="45">
        <v>0</v>
      </c>
      <c r="AF23" s="46">
        <v>0</v>
      </c>
      <c r="AG23" s="45">
        <v>0</v>
      </c>
      <c r="AH23" s="87" t="s">
        <v>1874</v>
      </c>
      <c r="AI23" s="87" t="s">
        <v>1874</v>
      </c>
    </row>
    <row r="24" spans="1:35" ht="15">
      <c r="A24" s="61" t="s">
        <v>2768</v>
      </c>
      <c r="B24" s="62" t="s">
        <v>2778</v>
      </c>
      <c r="C24" s="62" t="s">
        <v>59</v>
      </c>
      <c r="D24" s="11"/>
      <c r="E24" s="11"/>
      <c r="F24" s="12" t="s">
        <v>2768</v>
      </c>
      <c r="G24" s="60"/>
      <c r="H24" s="60"/>
      <c r="I24" s="74">
        <v>24</v>
      </c>
      <c r="J24" s="74"/>
      <c r="K24" s="45">
        <v>2</v>
      </c>
      <c r="L24" s="45">
        <v>2</v>
      </c>
      <c r="M24" s="45">
        <v>0</v>
      </c>
      <c r="N24" s="45">
        <v>2</v>
      </c>
      <c r="O24" s="45">
        <v>1</v>
      </c>
      <c r="P24" s="46">
        <v>0</v>
      </c>
      <c r="Q24" s="46">
        <v>0</v>
      </c>
      <c r="R24" s="45">
        <v>1</v>
      </c>
      <c r="S24" s="45">
        <v>0</v>
      </c>
      <c r="T24" s="45">
        <v>2</v>
      </c>
      <c r="U24" s="45">
        <v>2</v>
      </c>
      <c r="V24" s="45">
        <v>1</v>
      </c>
      <c r="W24" s="46">
        <v>0.5</v>
      </c>
      <c r="X24" s="46">
        <v>0.5</v>
      </c>
      <c r="Y24" s="45">
        <v>0</v>
      </c>
      <c r="Z24" s="46">
        <v>0</v>
      </c>
      <c r="AA24" s="45">
        <v>0</v>
      </c>
      <c r="AB24" s="46">
        <v>0</v>
      </c>
      <c r="AC24" s="45">
        <v>0</v>
      </c>
      <c r="AD24" s="46">
        <v>0</v>
      </c>
      <c r="AE24" s="45">
        <v>0</v>
      </c>
      <c r="AF24" s="46">
        <v>0</v>
      </c>
      <c r="AG24" s="45">
        <v>0</v>
      </c>
      <c r="AH24" s="87" t="s">
        <v>1874</v>
      </c>
      <c r="AI24" s="87" t="s">
        <v>1874</v>
      </c>
    </row>
  </sheetData>
  <dataValidations count="8">
    <dataValidation allowBlank="1" showInputMessage="1" promptTitle="Group Vertex Color" prompt="To select a color to use for all vertices in the group, right-click and select Select Color on the right-click menu." sqref="B3:B2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4">
      <formula1>ValidGroupShapes</formula1>
    </dataValidation>
    <dataValidation allowBlank="1" showInputMessage="1" showErrorMessage="1" promptTitle="Group Name" prompt="Enter the name of the group." sqref="A3:A2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4">
      <formula1>ValidBooleansDefaultFalse</formula1>
    </dataValidation>
    <dataValidation allowBlank="1" sqref="K3:K24"/>
    <dataValidation allowBlank="1" showInputMessage="1" showErrorMessage="1" promptTitle="Group Label" prompt="Enter an optional group label." errorTitle="Invalid Group Collapsed" error="You have entered an unrecognized &quot;group collapsed.&quot;  Try selecting from the drop-down list instead." sqref="F3:F2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83" t="s">
        <v>2747</v>
      </c>
      <c r="B2" s="87" t="s">
        <v>605</v>
      </c>
      <c r="C2" s="83">
        <f>VLOOKUP(GroupVertices[[#This Row],[Vertex]],Vertices[],MATCH("ID",Vertices[[#Headers],[Vertex]:[Top Word Pairs in Tags by Salience]],0),FALSE)</f>
        <v>403</v>
      </c>
    </row>
    <row r="3" spans="1:3" ht="15">
      <c r="A3" s="84" t="s">
        <v>2747</v>
      </c>
      <c r="B3" s="87" t="s">
        <v>651</v>
      </c>
      <c r="C3" s="83">
        <f>VLOOKUP(GroupVertices[[#This Row],[Vertex]],Vertices[],MATCH("ID",Vertices[[#Headers],[Vertex]:[Top Word Pairs in Tags by Salience]],0),FALSE)</f>
        <v>304</v>
      </c>
    </row>
    <row r="4" spans="1:3" ht="15">
      <c r="A4" s="84" t="s">
        <v>2747</v>
      </c>
      <c r="B4" s="87" t="s">
        <v>604</v>
      </c>
      <c r="C4" s="83">
        <f>VLOOKUP(GroupVertices[[#This Row],[Vertex]],Vertices[],MATCH("ID",Vertices[[#Headers],[Vertex]:[Top Word Pairs in Tags by Salience]],0),FALSE)</f>
        <v>402</v>
      </c>
    </row>
    <row r="5" spans="1:3" ht="15">
      <c r="A5" s="84" t="s">
        <v>2747</v>
      </c>
      <c r="B5" s="87" t="s">
        <v>603</v>
      </c>
      <c r="C5" s="83">
        <f>VLOOKUP(GroupVertices[[#This Row],[Vertex]],Vertices[],MATCH("ID",Vertices[[#Headers],[Vertex]:[Top Word Pairs in Tags by Salience]],0),FALSE)</f>
        <v>401</v>
      </c>
    </row>
    <row r="6" spans="1:3" ht="15">
      <c r="A6" s="84" t="s">
        <v>2747</v>
      </c>
      <c r="B6" s="87" t="s">
        <v>602</v>
      </c>
      <c r="C6" s="83">
        <f>VLOOKUP(GroupVertices[[#This Row],[Vertex]],Vertices[],MATCH("ID",Vertices[[#Headers],[Vertex]:[Top Word Pairs in Tags by Salience]],0),FALSE)</f>
        <v>400</v>
      </c>
    </row>
    <row r="7" spans="1:3" ht="15">
      <c r="A7" s="84" t="s">
        <v>2747</v>
      </c>
      <c r="B7" s="87" t="s">
        <v>601</v>
      </c>
      <c r="C7" s="83">
        <f>VLOOKUP(GroupVertices[[#This Row],[Vertex]],Vertices[],MATCH("ID",Vertices[[#Headers],[Vertex]:[Top Word Pairs in Tags by Salience]],0),FALSE)</f>
        <v>399</v>
      </c>
    </row>
    <row r="8" spans="1:3" ht="15">
      <c r="A8" s="84" t="s">
        <v>2747</v>
      </c>
      <c r="B8" s="87" t="s">
        <v>600</v>
      </c>
      <c r="C8" s="83">
        <f>VLOOKUP(GroupVertices[[#This Row],[Vertex]],Vertices[],MATCH("ID",Vertices[[#Headers],[Vertex]:[Top Word Pairs in Tags by Salience]],0),FALSE)</f>
        <v>398</v>
      </c>
    </row>
    <row r="9" spans="1:3" ht="15">
      <c r="A9" s="84" t="s">
        <v>2747</v>
      </c>
      <c r="B9" s="87" t="s">
        <v>599</v>
      </c>
      <c r="C9" s="83">
        <f>VLOOKUP(GroupVertices[[#This Row],[Vertex]],Vertices[],MATCH("ID",Vertices[[#Headers],[Vertex]:[Top Word Pairs in Tags by Salience]],0),FALSE)</f>
        <v>397</v>
      </c>
    </row>
    <row r="10" spans="1:3" ht="15">
      <c r="A10" s="84" t="s">
        <v>2747</v>
      </c>
      <c r="B10" s="87" t="s">
        <v>598</v>
      </c>
      <c r="C10" s="83">
        <f>VLOOKUP(GroupVertices[[#This Row],[Vertex]],Vertices[],MATCH("ID",Vertices[[#Headers],[Vertex]:[Top Word Pairs in Tags by Salience]],0),FALSE)</f>
        <v>396</v>
      </c>
    </row>
    <row r="11" spans="1:3" ht="15">
      <c r="A11" s="84" t="s">
        <v>2747</v>
      </c>
      <c r="B11" s="87" t="s">
        <v>597</v>
      </c>
      <c r="C11" s="83">
        <f>VLOOKUP(GroupVertices[[#This Row],[Vertex]],Vertices[],MATCH("ID",Vertices[[#Headers],[Vertex]:[Top Word Pairs in Tags by Salience]],0),FALSE)</f>
        <v>395</v>
      </c>
    </row>
    <row r="12" spans="1:3" ht="15">
      <c r="A12" s="84" t="s">
        <v>2747</v>
      </c>
      <c r="B12" s="87" t="s">
        <v>596</v>
      </c>
      <c r="C12" s="83">
        <f>VLOOKUP(GroupVertices[[#This Row],[Vertex]],Vertices[],MATCH("ID",Vertices[[#Headers],[Vertex]:[Top Word Pairs in Tags by Salience]],0),FALSE)</f>
        <v>394</v>
      </c>
    </row>
    <row r="13" spans="1:3" ht="15">
      <c r="A13" s="84" t="s">
        <v>2747</v>
      </c>
      <c r="B13" s="87" t="s">
        <v>595</v>
      </c>
      <c r="C13" s="83">
        <f>VLOOKUP(GroupVertices[[#This Row],[Vertex]],Vertices[],MATCH("ID",Vertices[[#Headers],[Vertex]:[Top Word Pairs in Tags by Salience]],0),FALSE)</f>
        <v>393</v>
      </c>
    </row>
    <row r="14" spans="1:3" ht="15">
      <c r="A14" s="84" t="s">
        <v>2747</v>
      </c>
      <c r="B14" s="87" t="s">
        <v>594</v>
      </c>
      <c r="C14" s="83">
        <f>VLOOKUP(GroupVertices[[#This Row],[Vertex]],Vertices[],MATCH("ID",Vertices[[#Headers],[Vertex]:[Top Word Pairs in Tags by Salience]],0),FALSE)</f>
        <v>392</v>
      </c>
    </row>
    <row r="15" spans="1:3" ht="15">
      <c r="A15" s="84" t="s">
        <v>2747</v>
      </c>
      <c r="B15" s="87" t="s">
        <v>593</v>
      </c>
      <c r="C15" s="83">
        <f>VLOOKUP(GroupVertices[[#This Row],[Vertex]],Vertices[],MATCH("ID",Vertices[[#Headers],[Vertex]:[Top Word Pairs in Tags by Salience]],0),FALSE)</f>
        <v>391</v>
      </c>
    </row>
    <row r="16" spans="1:3" ht="15">
      <c r="A16" s="84" t="s">
        <v>2747</v>
      </c>
      <c r="B16" s="87" t="s">
        <v>592</v>
      </c>
      <c r="C16" s="83">
        <f>VLOOKUP(GroupVertices[[#This Row],[Vertex]],Vertices[],MATCH("ID",Vertices[[#Headers],[Vertex]:[Top Word Pairs in Tags by Salience]],0),FALSE)</f>
        <v>390</v>
      </c>
    </row>
    <row r="17" spans="1:3" ht="15">
      <c r="A17" s="84" t="s">
        <v>2747</v>
      </c>
      <c r="B17" s="87" t="s">
        <v>591</v>
      </c>
      <c r="C17" s="83">
        <f>VLOOKUP(GroupVertices[[#This Row],[Vertex]],Vertices[],MATCH("ID",Vertices[[#Headers],[Vertex]:[Top Word Pairs in Tags by Salience]],0),FALSE)</f>
        <v>389</v>
      </c>
    </row>
    <row r="18" spans="1:3" ht="15">
      <c r="A18" s="84" t="s">
        <v>2747</v>
      </c>
      <c r="B18" s="87" t="s">
        <v>590</v>
      </c>
      <c r="C18" s="83">
        <f>VLOOKUP(GroupVertices[[#This Row],[Vertex]],Vertices[],MATCH("ID",Vertices[[#Headers],[Vertex]:[Top Word Pairs in Tags by Salience]],0),FALSE)</f>
        <v>388</v>
      </c>
    </row>
    <row r="19" spans="1:3" ht="15">
      <c r="A19" s="84" t="s">
        <v>2747</v>
      </c>
      <c r="B19" s="87" t="s">
        <v>589</v>
      </c>
      <c r="C19" s="83">
        <f>VLOOKUP(GroupVertices[[#This Row],[Vertex]],Vertices[],MATCH("ID",Vertices[[#Headers],[Vertex]:[Top Word Pairs in Tags by Salience]],0),FALSE)</f>
        <v>387</v>
      </c>
    </row>
    <row r="20" spans="1:3" ht="15">
      <c r="A20" s="84" t="s">
        <v>2747</v>
      </c>
      <c r="B20" s="87" t="s">
        <v>588</v>
      </c>
      <c r="C20" s="83">
        <f>VLOOKUP(GroupVertices[[#This Row],[Vertex]],Vertices[],MATCH("ID",Vertices[[#Headers],[Vertex]:[Top Word Pairs in Tags by Salience]],0),FALSE)</f>
        <v>386</v>
      </c>
    </row>
    <row r="21" spans="1:3" ht="15">
      <c r="A21" s="84" t="s">
        <v>2747</v>
      </c>
      <c r="B21" s="87" t="s">
        <v>587</v>
      </c>
      <c r="C21" s="83">
        <f>VLOOKUP(GroupVertices[[#This Row],[Vertex]],Vertices[],MATCH("ID",Vertices[[#Headers],[Vertex]:[Top Word Pairs in Tags by Salience]],0),FALSE)</f>
        <v>385</v>
      </c>
    </row>
    <row r="22" spans="1:3" ht="15">
      <c r="A22" s="84" t="s">
        <v>2747</v>
      </c>
      <c r="B22" s="87" t="s">
        <v>586</v>
      </c>
      <c r="C22" s="83">
        <f>VLOOKUP(GroupVertices[[#This Row],[Vertex]],Vertices[],MATCH("ID",Vertices[[#Headers],[Vertex]:[Top Word Pairs in Tags by Salience]],0),FALSE)</f>
        <v>384</v>
      </c>
    </row>
    <row r="23" spans="1:3" ht="15">
      <c r="A23" s="84" t="s">
        <v>2747</v>
      </c>
      <c r="B23" s="87" t="s">
        <v>585</v>
      </c>
      <c r="C23" s="83">
        <f>VLOOKUP(GroupVertices[[#This Row],[Vertex]],Vertices[],MATCH("ID",Vertices[[#Headers],[Vertex]:[Top Word Pairs in Tags by Salience]],0),FALSE)</f>
        <v>383</v>
      </c>
    </row>
    <row r="24" spans="1:3" ht="15">
      <c r="A24" s="84" t="s">
        <v>2747</v>
      </c>
      <c r="B24" s="87" t="s">
        <v>584</v>
      </c>
      <c r="C24" s="83">
        <f>VLOOKUP(GroupVertices[[#This Row],[Vertex]],Vertices[],MATCH("ID",Vertices[[#Headers],[Vertex]:[Top Word Pairs in Tags by Salience]],0),FALSE)</f>
        <v>382</v>
      </c>
    </row>
    <row r="25" spans="1:3" ht="15">
      <c r="A25" s="84" t="s">
        <v>2747</v>
      </c>
      <c r="B25" s="87" t="s">
        <v>583</v>
      </c>
      <c r="C25" s="83">
        <f>VLOOKUP(GroupVertices[[#This Row],[Vertex]],Vertices[],MATCH("ID",Vertices[[#Headers],[Vertex]:[Top Word Pairs in Tags by Salience]],0),FALSE)</f>
        <v>381</v>
      </c>
    </row>
    <row r="26" spans="1:3" ht="15">
      <c r="A26" s="84" t="s">
        <v>2747</v>
      </c>
      <c r="B26" s="87" t="s">
        <v>582</v>
      </c>
      <c r="C26" s="83">
        <f>VLOOKUP(GroupVertices[[#This Row],[Vertex]],Vertices[],MATCH("ID",Vertices[[#Headers],[Vertex]:[Top Word Pairs in Tags by Salience]],0),FALSE)</f>
        <v>380</v>
      </c>
    </row>
    <row r="27" spans="1:3" ht="15">
      <c r="A27" s="84" t="s">
        <v>2747</v>
      </c>
      <c r="B27" s="87" t="s">
        <v>581</v>
      </c>
      <c r="C27" s="83">
        <f>VLOOKUP(GroupVertices[[#This Row],[Vertex]],Vertices[],MATCH("ID",Vertices[[#Headers],[Vertex]:[Top Word Pairs in Tags by Salience]],0),FALSE)</f>
        <v>379</v>
      </c>
    </row>
    <row r="28" spans="1:3" ht="15">
      <c r="A28" s="84" t="s">
        <v>2747</v>
      </c>
      <c r="B28" s="87" t="s">
        <v>580</v>
      </c>
      <c r="C28" s="83">
        <f>VLOOKUP(GroupVertices[[#This Row],[Vertex]],Vertices[],MATCH("ID",Vertices[[#Headers],[Vertex]:[Top Word Pairs in Tags by Salience]],0),FALSE)</f>
        <v>378</v>
      </c>
    </row>
    <row r="29" spans="1:3" ht="15">
      <c r="A29" s="84" t="s">
        <v>2747</v>
      </c>
      <c r="B29" s="87" t="s">
        <v>579</v>
      </c>
      <c r="C29" s="83">
        <f>VLOOKUP(GroupVertices[[#This Row],[Vertex]],Vertices[],MATCH("ID",Vertices[[#Headers],[Vertex]:[Top Word Pairs in Tags by Salience]],0),FALSE)</f>
        <v>377</v>
      </c>
    </row>
    <row r="30" spans="1:3" ht="15">
      <c r="A30" s="84" t="s">
        <v>2747</v>
      </c>
      <c r="B30" s="87" t="s">
        <v>578</v>
      </c>
      <c r="C30" s="83">
        <f>VLOOKUP(GroupVertices[[#This Row],[Vertex]],Vertices[],MATCH("ID",Vertices[[#Headers],[Vertex]:[Top Word Pairs in Tags by Salience]],0),FALSE)</f>
        <v>376</v>
      </c>
    </row>
    <row r="31" spans="1:3" ht="15">
      <c r="A31" s="84" t="s">
        <v>2747</v>
      </c>
      <c r="B31" s="87" t="s">
        <v>577</v>
      </c>
      <c r="C31" s="83">
        <f>VLOOKUP(GroupVertices[[#This Row],[Vertex]],Vertices[],MATCH("ID",Vertices[[#Headers],[Vertex]:[Top Word Pairs in Tags by Salience]],0),FALSE)</f>
        <v>375</v>
      </c>
    </row>
    <row r="32" spans="1:3" ht="15">
      <c r="A32" s="84" t="s">
        <v>2747</v>
      </c>
      <c r="B32" s="87" t="s">
        <v>576</v>
      </c>
      <c r="C32" s="83">
        <f>VLOOKUP(GroupVertices[[#This Row],[Vertex]],Vertices[],MATCH("ID",Vertices[[#Headers],[Vertex]:[Top Word Pairs in Tags by Salience]],0),FALSE)</f>
        <v>374</v>
      </c>
    </row>
    <row r="33" spans="1:3" ht="15">
      <c r="A33" s="84" t="s">
        <v>2747</v>
      </c>
      <c r="B33" s="87" t="s">
        <v>575</v>
      </c>
      <c r="C33" s="83">
        <f>VLOOKUP(GroupVertices[[#This Row],[Vertex]],Vertices[],MATCH("ID",Vertices[[#Headers],[Vertex]:[Top Word Pairs in Tags by Salience]],0),FALSE)</f>
        <v>373</v>
      </c>
    </row>
    <row r="34" spans="1:3" ht="15">
      <c r="A34" s="84" t="s">
        <v>2747</v>
      </c>
      <c r="B34" s="87" t="s">
        <v>574</v>
      </c>
      <c r="C34" s="83">
        <f>VLOOKUP(GroupVertices[[#This Row],[Vertex]],Vertices[],MATCH("ID",Vertices[[#Headers],[Vertex]:[Top Word Pairs in Tags by Salience]],0),FALSE)</f>
        <v>372</v>
      </c>
    </row>
    <row r="35" spans="1:3" ht="15">
      <c r="A35" s="84" t="s">
        <v>2747</v>
      </c>
      <c r="B35" s="87" t="s">
        <v>573</v>
      </c>
      <c r="C35" s="83">
        <f>VLOOKUP(GroupVertices[[#This Row],[Vertex]],Vertices[],MATCH("ID",Vertices[[#Headers],[Vertex]:[Top Word Pairs in Tags by Salience]],0),FALSE)</f>
        <v>371</v>
      </c>
    </row>
    <row r="36" spans="1:3" ht="15">
      <c r="A36" s="84" t="s">
        <v>2747</v>
      </c>
      <c r="B36" s="87" t="s">
        <v>572</v>
      </c>
      <c r="C36" s="83">
        <f>VLOOKUP(GroupVertices[[#This Row],[Vertex]],Vertices[],MATCH("ID",Vertices[[#Headers],[Vertex]:[Top Word Pairs in Tags by Salience]],0),FALSE)</f>
        <v>370</v>
      </c>
    </row>
    <row r="37" spans="1:3" ht="15">
      <c r="A37" s="84" t="s">
        <v>2747</v>
      </c>
      <c r="B37" s="87" t="s">
        <v>571</v>
      </c>
      <c r="C37" s="83">
        <f>VLOOKUP(GroupVertices[[#This Row],[Vertex]],Vertices[],MATCH("ID",Vertices[[#Headers],[Vertex]:[Top Word Pairs in Tags by Salience]],0),FALSE)</f>
        <v>369</v>
      </c>
    </row>
    <row r="38" spans="1:3" ht="15">
      <c r="A38" s="84" t="s">
        <v>2747</v>
      </c>
      <c r="B38" s="87" t="s">
        <v>570</v>
      </c>
      <c r="C38" s="83">
        <f>VLOOKUP(GroupVertices[[#This Row],[Vertex]],Vertices[],MATCH("ID",Vertices[[#Headers],[Vertex]:[Top Word Pairs in Tags by Salience]],0),FALSE)</f>
        <v>368</v>
      </c>
    </row>
    <row r="39" spans="1:3" ht="15">
      <c r="A39" s="84" t="s">
        <v>2747</v>
      </c>
      <c r="B39" s="87" t="s">
        <v>569</v>
      </c>
      <c r="C39" s="83">
        <f>VLOOKUP(GroupVertices[[#This Row],[Vertex]],Vertices[],MATCH("ID",Vertices[[#Headers],[Vertex]:[Top Word Pairs in Tags by Salience]],0),FALSE)</f>
        <v>367</v>
      </c>
    </row>
    <row r="40" spans="1:3" ht="15">
      <c r="A40" s="84" t="s">
        <v>2747</v>
      </c>
      <c r="B40" s="87" t="s">
        <v>568</v>
      </c>
      <c r="C40" s="83">
        <f>VLOOKUP(GroupVertices[[#This Row],[Vertex]],Vertices[],MATCH("ID",Vertices[[#Headers],[Vertex]:[Top Word Pairs in Tags by Salience]],0),FALSE)</f>
        <v>366</v>
      </c>
    </row>
    <row r="41" spans="1:3" ht="15">
      <c r="A41" s="84" t="s">
        <v>2747</v>
      </c>
      <c r="B41" s="87" t="s">
        <v>567</v>
      </c>
      <c r="C41" s="83">
        <f>VLOOKUP(GroupVertices[[#This Row],[Vertex]],Vertices[],MATCH("ID",Vertices[[#Headers],[Vertex]:[Top Word Pairs in Tags by Salience]],0),FALSE)</f>
        <v>365</v>
      </c>
    </row>
    <row r="42" spans="1:3" ht="15">
      <c r="A42" s="84" t="s">
        <v>2747</v>
      </c>
      <c r="B42" s="87" t="s">
        <v>566</v>
      </c>
      <c r="C42" s="83">
        <f>VLOOKUP(GroupVertices[[#This Row],[Vertex]],Vertices[],MATCH("ID",Vertices[[#Headers],[Vertex]:[Top Word Pairs in Tags by Salience]],0),FALSE)</f>
        <v>364</v>
      </c>
    </row>
    <row r="43" spans="1:3" ht="15">
      <c r="A43" s="84" t="s">
        <v>2747</v>
      </c>
      <c r="B43" s="87" t="s">
        <v>565</v>
      </c>
      <c r="C43" s="83">
        <f>VLOOKUP(GroupVertices[[#This Row],[Vertex]],Vertices[],MATCH("ID",Vertices[[#Headers],[Vertex]:[Top Word Pairs in Tags by Salience]],0),FALSE)</f>
        <v>363</v>
      </c>
    </row>
    <row r="44" spans="1:3" ht="15">
      <c r="A44" s="84" t="s">
        <v>2747</v>
      </c>
      <c r="B44" s="87" t="s">
        <v>564</v>
      </c>
      <c r="C44" s="83">
        <f>VLOOKUP(GroupVertices[[#This Row],[Vertex]],Vertices[],MATCH("ID",Vertices[[#Headers],[Vertex]:[Top Word Pairs in Tags by Salience]],0),FALSE)</f>
        <v>362</v>
      </c>
    </row>
    <row r="45" spans="1:3" ht="15">
      <c r="A45" s="84" t="s">
        <v>2747</v>
      </c>
      <c r="B45" s="87" t="s">
        <v>563</v>
      </c>
      <c r="C45" s="83">
        <f>VLOOKUP(GroupVertices[[#This Row],[Vertex]],Vertices[],MATCH("ID",Vertices[[#Headers],[Vertex]:[Top Word Pairs in Tags by Salience]],0),FALSE)</f>
        <v>361</v>
      </c>
    </row>
    <row r="46" spans="1:3" ht="15">
      <c r="A46" s="84" t="s">
        <v>2747</v>
      </c>
      <c r="B46" s="87" t="s">
        <v>562</v>
      </c>
      <c r="C46" s="83">
        <f>VLOOKUP(GroupVertices[[#This Row],[Vertex]],Vertices[],MATCH("ID",Vertices[[#Headers],[Vertex]:[Top Word Pairs in Tags by Salience]],0),FALSE)</f>
        <v>360</v>
      </c>
    </row>
    <row r="47" spans="1:3" ht="15">
      <c r="A47" s="84" t="s">
        <v>2747</v>
      </c>
      <c r="B47" s="87" t="s">
        <v>561</v>
      </c>
      <c r="C47" s="83">
        <f>VLOOKUP(GroupVertices[[#This Row],[Vertex]],Vertices[],MATCH("ID",Vertices[[#Headers],[Vertex]:[Top Word Pairs in Tags by Salience]],0),FALSE)</f>
        <v>359</v>
      </c>
    </row>
    <row r="48" spans="1:3" ht="15">
      <c r="A48" s="84" t="s">
        <v>2747</v>
      </c>
      <c r="B48" s="87" t="s">
        <v>560</v>
      </c>
      <c r="C48" s="83">
        <f>VLOOKUP(GroupVertices[[#This Row],[Vertex]],Vertices[],MATCH("ID",Vertices[[#Headers],[Vertex]:[Top Word Pairs in Tags by Salience]],0),FALSE)</f>
        <v>358</v>
      </c>
    </row>
    <row r="49" spans="1:3" ht="15">
      <c r="A49" s="84" t="s">
        <v>2747</v>
      </c>
      <c r="B49" s="87" t="s">
        <v>559</v>
      </c>
      <c r="C49" s="83">
        <f>VLOOKUP(GroupVertices[[#This Row],[Vertex]],Vertices[],MATCH("ID",Vertices[[#Headers],[Vertex]:[Top Word Pairs in Tags by Salience]],0),FALSE)</f>
        <v>357</v>
      </c>
    </row>
    <row r="50" spans="1:3" ht="15">
      <c r="A50" s="84" t="s">
        <v>2747</v>
      </c>
      <c r="B50" s="87" t="s">
        <v>558</v>
      </c>
      <c r="C50" s="83">
        <f>VLOOKUP(GroupVertices[[#This Row],[Vertex]],Vertices[],MATCH("ID",Vertices[[#Headers],[Vertex]:[Top Word Pairs in Tags by Salience]],0),FALSE)</f>
        <v>356</v>
      </c>
    </row>
    <row r="51" spans="1:3" ht="15">
      <c r="A51" s="84" t="s">
        <v>2747</v>
      </c>
      <c r="B51" s="87" t="s">
        <v>557</v>
      </c>
      <c r="C51" s="83">
        <f>VLOOKUP(GroupVertices[[#This Row],[Vertex]],Vertices[],MATCH("ID",Vertices[[#Headers],[Vertex]:[Top Word Pairs in Tags by Salience]],0),FALSE)</f>
        <v>355</v>
      </c>
    </row>
    <row r="52" spans="1:3" ht="15">
      <c r="A52" s="84" t="s">
        <v>2747</v>
      </c>
      <c r="B52" s="87" t="s">
        <v>556</v>
      </c>
      <c r="C52" s="83">
        <f>VLOOKUP(GroupVertices[[#This Row],[Vertex]],Vertices[],MATCH("ID",Vertices[[#Headers],[Vertex]:[Top Word Pairs in Tags by Salience]],0),FALSE)</f>
        <v>354</v>
      </c>
    </row>
    <row r="53" spans="1:3" ht="15">
      <c r="A53" s="84" t="s">
        <v>2747</v>
      </c>
      <c r="B53" s="87" t="s">
        <v>555</v>
      </c>
      <c r="C53" s="83">
        <f>VLOOKUP(GroupVertices[[#This Row],[Vertex]],Vertices[],MATCH("ID",Vertices[[#Headers],[Vertex]:[Top Word Pairs in Tags by Salience]],0),FALSE)</f>
        <v>353</v>
      </c>
    </row>
    <row r="54" spans="1:3" ht="15">
      <c r="A54" s="84" t="s">
        <v>2747</v>
      </c>
      <c r="B54" s="87" t="s">
        <v>554</v>
      </c>
      <c r="C54" s="83">
        <f>VLOOKUP(GroupVertices[[#This Row],[Vertex]],Vertices[],MATCH("ID",Vertices[[#Headers],[Vertex]:[Top Word Pairs in Tags by Salience]],0),FALSE)</f>
        <v>352</v>
      </c>
    </row>
    <row r="55" spans="1:3" ht="15">
      <c r="A55" s="84" t="s">
        <v>2747</v>
      </c>
      <c r="B55" s="87" t="s">
        <v>553</v>
      </c>
      <c r="C55" s="83">
        <f>VLOOKUP(GroupVertices[[#This Row],[Vertex]],Vertices[],MATCH("ID",Vertices[[#Headers],[Vertex]:[Top Word Pairs in Tags by Salience]],0),FALSE)</f>
        <v>351</v>
      </c>
    </row>
    <row r="56" spans="1:3" ht="15">
      <c r="A56" s="84" t="s">
        <v>2747</v>
      </c>
      <c r="B56" s="87" t="s">
        <v>552</v>
      </c>
      <c r="C56" s="83">
        <f>VLOOKUP(GroupVertices[[#This Row],[Vertex]],Vertices[],MATCH("ID",Vertices[[#Headers],[Vertex]:[Top Word Pairs in Tags by Salience]],0),FALSE)</f>
        <v>350</v>
      </c>
    </row>
    <row r="57" spans="1:3" ht="15">
      <c r="A57" s="84" t="s">
        <v>2747</v>
      </c>
      <c r="B57" s="87" t="s">
        <v>551</v>
      </c>
      <c r="C57" s="83">
        <f>VLOOKUP(GroupVertices[[#This Row],[Vertex]],Vertices[],MATCH("ID",Vertices[[#Headers],[Vertex]:[Top Word Pairs in Tags by Salience]],0),FALSE)</f>
        <v>349</v>
      </c>
    </row>
    <row r="58" spans="1:3" ht="15">
      <c r="A58" s="84" t="s">
        <v>2747</v>
      </c>
      <c r="B58" s="87" t="s">
        <v>549</v>
      </c>
      <c r="C58" s="83">
        <f>VLOOKUP(GroupVertices[[#This Row],[Vertex]],Vertices[],MATCH("ID",Vertices[[#Headers],[Vertex]:[Top Word Pairs in Tags by Salience]],0),FALSE)</f>
        <v>347</v>
      </c>
    </row>
    <row r="59" spans="1:3" ht="15">
      <c r="A59" s="84" t="s">
        <v>2747</v>
      </c>
      <c r="B59" s="87" t="s">
        <v>548</v>
      </c>
      <c r="C59" s="83">
        <f>VLOOKUP(GroupVertices[[#This Row],[Vertex]],Vertices[],MATCH("ID",Vertices[[#Headers],[Vertex]:[Top Word Pairs in Tags by Salience]],0),FALSE)</f>
        <v>346</v>
      </c>
    </row>
    <row r="60" spans="1:3" ht="15">
      <c r="A60" s="84" t="s">
        <v>2747</v>
      </c>
      <c r="B60" s="87" t="s">
        <v>547</v>
      </c>
      <c r="C60" s="83">
        <f>VLOOKUP(GroupVertices[[#This Row],[Vertex]],Vertices[],MATCH("ID",Vertices[[#Headers],[Vertex]:[Top Word Pairs in Tags by Salience]],0),FALSE)</f>
        <v>345</v>
      </c>
    </row>
    <row r="61" spans="1:3" ht="15">
      <c r="A61" s="84" t="s">
        <v>2747</v>
      </c>
      <c r="B61" s="87" t="s">
        <v>546</v>
      </c>
      <c r="C61" s="83">
        <f>VLOOKUP(GroupVertices[[#This Row],[Vertex]],Vertices[],MATCH("ID",Vertices[[#Headers],[Vertex]:[Top Word Pairs in Tags by Salience]],0),FALSE)</f>
        <v>344</v>
      </c>
    </row>
    <row r="62" spans="1:3" ht="15">
      <c r="A62" s="84" t="s">
        <v>2747</v>
      </c>
      <c r="B62" s="87" t="s">
        <v>545</v>
      </c>
      <c r="C62" s="83">
        <f>VLOOKUP(GroupVertices[[#This Row],[Vertex]],Vertices[],MATCH("ID",Vertices[[#Headers],[Vertex]:[Top Word Pairs in Tags by Salience]],0),FALSE)</f>
        <v>343</v>
      </c>
    </row>
    <row r="63" spans="1:3" ht="15">
      <c r="A63" s="84" t="s">
        <v>2747</v>
      </c>
      <c r="B63" s="87" t="s">
        <v>544</v>
      </c>
      <c r="C63" s="83">
        <f>VLOOKUP(GroupVertices[[#This Row],[Vertex]],Vertices[],MATCH("ID",Vertices[[#Headers],[Vertex]:[Top Word Pairs in Tags by Salience]],0),FALSE)</f>
        <v>342</v>
      </c>
    </row>
    <row r="64" spans="1:3" ht="15">
      <c r="A64" s="84" t="s">
        <v>2747</v>
      </c>
      <c r="B64" s="87" t="s">
        <v>543</v>
      </c>
      <c r="C64" s="83">
        <f>VLOOKUP(GroupVertices[[#This Row],[Vertex]],Vertices[],MATCH("ID",Vertices[[#Headers],[Vertex]:[Top Word Pairs in Tags by Salience]],0),FALSE)</f>
        <v>341</v>
      </c>
    </row>
    <row r="65" spans="1:3" ht="15">
      <c r="A65" s="84" t="s">
        <v>2747</v>
      </c>
      <c r="B65" s="87" t="s">
        <v>542</v>
      </c>
      <c r="C65" s="83">
        <f>VLOOKUP(GroupVertices[[#This Row],[Vertex]],Vertices[],MATCH("ID",Vertices[[#Headers],[Vertex]:[Top Word Pairs in Tags by Salience]],0),FALSE)</f>
        <v>340</v>
      </c>
    </row>
    <row r="66" spans="1:3" ht="15">
      <c r="A66" s="84" t="s">
        <v>2747</v>
      </c>
      <c r="B66" s="87" t="s">
        <v>541</v>
      </c>
      <c r="C66" s="83">
        <f>VLOOKUP(GroupVertices[[#This Row],[Vertex]],Vertices[],MATCH("ID",Vertices[[#Headers],[Vertex]:[Top Word Pairs in Tags by Salience]],0),FALSE)</f>
        <v>339</v>
      </c>
    </row>
    <row r="67" spans="1:3" ht="15">
      <c r="A67" s="84" t="s">
        <v>2747</v>
      </c>
      <c r="B67" s="87" t="s">
        <v>540</v>
      </c>
      <c r="C67" s="83">
        <f>VLOOKUP(GroupVertices[[#This Row],[Vertex]],Vertices[],MATCH("ID",Vertices[[#Headers],[Vertex]:[Top Word Pairs in Tags by Salience]],0),FALSE)</f>
        <v>338</v>
      </c>
    </row>
    <row r="68" spans="1:3" ht="15">
      <c r="A68" s="84" t="s">
        <v>2747</v>
      </c>
      <c r="B68" s="87" t="s">
        <v>539</v>
      </c>
      <c r="C68" s="83">
        <f>VLOOKUP(GroupVertices[[#This Row],[Vertex]],Vertices[],MATCH("ID",Vertices[[#Headers],[Vertex]:[Top Word Pairs in Tags by Salience]],0),FALSE)</f>
        <v>337</v>
      </c>
    </row>
    <row r="69" spans="1:3" ht="15">
      <c r="A69" s="84" t="s">
        <v>2747</v>
      </c>
      <c r="B69" s="87" t="s">
        <v>538</v>
      </c>
      <c r="C69" s="83">
        <f>VLOOKUP(GroupVertices[[#This Row],[Vertex]],Vertices[],MATCH("ID",Vertices[[#Headers],[Vertex]:[Top Word Pairs in Tags by Salience]],0),FALSE)</f>
        <v>336</v>
      </c>
    </row>
    <row r="70" spans="1:3" ht="15">
      <c r="A70" s="84" t="s">
        <v>2747</v>
      </c>
      <c r="B70" s="87" t="s">
        <v>537</v>
      </c>
      <c r="C70" s="83">
        <f>VLOOKUP(GroupVertices[[#This Row],[Vertex]],Vertices[],MATCH("ID",Vertices[[#Headers],[Vertex]:[Top Word Pairs in Tags by Salience]],0),FALSE)</f>
        <v>335</v>
      </c>
    </row>
    <row r="71" spans="1:3" ht="15">
      <c r="A71" s="84" t="s">
        <v>2747</v>
      </c>
      <c r="B71" s="87" t="s">
        <v>536</v>
      </c>
      <c r="C71" s="83">
        <f>VLOOKUP(GroupVertices[[#This Row],[Vertex]],Vertices[],MATCH("ID",Vertices[[#Headers],[Vertex]:[Top Word Pairs in Tags by Salience]],0),FALSE)</f>
        <v>334</v>
      </c>
    </row>
    <row r="72" spans="1:3" ht="15">
      <c r="A72" s="84" t="s">
        <v>2747</v>
      </c>
      <c r="B72" s="87" t="s">
        <v>535</v>
      </c>
      <c r="C72" s="83">
        <f>VLOOKUP(GroupVertices[[#This Row],[Vertex]],Vertices[],MATCH("ID",Vertices[[#Headers],[Vertex]:[Top Word Pairs in Tags by Salience]],0),FALSE)</f>
        <v>333</v>
      </c>
    </row>
    <row r="73" spans="1:3" ht="15">
      <c r="A73" s="84" t="s">
        <v>2747</v>
      </c>
      <c r="B73" s="87" t="s">
        <v>534</v>
      </c>
      <c r="C73" s="83">
        <f>VLOOKUP(GroupVertices[[#This Row],[Vertex]],Vertices[],MATCH("ID",Vertices[[#Headers],[Vertex]:[Top Word Pairs in Tags by Salience]],0),FALSE)</f>
        <v>332</v>
      </c>
    </row>
    <row r="74" spans="1:3" ht="15">
      <c r="A74" s="84" t="s">
        <v>2747</v>
      </c>
      <c r="B74" s="87" t="s">
        <v>533</v>
      </c>
      <c r="C74" s="83">
        <f>VLOOKUP(GroupVertices[[#This Row],[Vertex]],Vertices[],MATCH("ID",Vertices[[#Headers],[Vertex]:[Top Word Pairs in Tags by Salience]],0),FALSE)</f>
        <v>331</v>
      </c>
    </row>
    <row r="75" spans="1:3" ht="15">
      <c r="A75" s="84" t="s">
        <v>2747</v>
      </c>
      <c r="B75" s="87" t="s">
        <v>532</v>
      </c>
      <c r="C75" s="83">
        <f>VLOOKUP(GroupVertices[[#This Row],[Vertex]],Vertices[],MATCH("ID",Vertices[[#Headers],[Vertex]:[Top Word Pairs in Tags by Salience]],0),FALSE)</f>
        <v>330</v>
      </c>
    </row>
    <row r="76" spans="1:3" ht="15">
      <c r="A76" s="84" t="s">
        <v>2747</v>
      </c>
      <c r="B76" s="87" t="s">
        <v>531</v>
      </c>
      <c r="C76" s="83">
        <f>VLOOKUP(GroupVertices[[#This Row],[Vertex]],Vertices[],MATCH("ID",Vertices[[#Headers],[Vertex]:[Top Word Pairs in Tags by Salience]],0),FALSE)</f>
        <v>329</v>
      </c>
    </row>
    <row r="77" spans="1:3" ht="15">
      <c r="A77" s="84" t="s">
        <v>2747</v>
      </c>
      <c r="B77" s="87" t="s">
        <v>530</v>
      </c>
      <c r="C77" s="83">
        <f>VLOOKUP(GroupVertices[[#This Row],[Vertex]],Vertices[],MATCH("ID",Vertices[[#Headers],[Vertex]:[Top Word Pairs in Tags by Salience]],0),FALSE)</f>
        <v>328</v>
      </c>
    </row>
    <row r="78" spans="1:3" ht="15">
      <c r="A78" s="84" t="s">
        <v>2747</v>
      </c>
      <c r="B78" s="87" t="s">
        <v>529</v>
      </c>
      <c r="C78" s="83">
        <f>VLOOKUP(GroupVertices[[#This Row],[Vertex]],Vertices[],MATCH("ID",Vertices[[#Headers],[Vertex]:[Top Word Pairs in Tags by Salience]],0),FALSE)</f>
        <v>327</v>
      </c>
    </row>
    <row r="79" spans="1:3" ht="15">
      <c r="A79" s="84" t="s">
        <v>2747</v>
      </c>
      <c r="B79" s="87" t="s">
        <v>528</v>
      </c>
      <c r="C79" s="83">
        <f>VLOOKUP(GroupVertices[[#This Row],[Vertex]],Vertices[],MATCH("ID",Vertices[[#Headers],[Vertex]:[Top Word Pairs in Tags by Salience]],0),FALSE)</f>
        <v>326</v>
      </c>
    </row>
    <row r="80" spans="1:3" ht="15">
      <c r="A80" s="84" t="s">
        <v>2747</v>
      </c>
      <c r="B80" s="87" t="s">
        <v>527</v>
      </c>
      <c r="C80" s="83">
        <f>VLOOKUP(GroupVertices[[#This Row],[Vertex]],Vertices[],MATCH("ID",Vertices[[#Headers],[Vertex]:[Top Word Pairs in Tags by Salience]],0),FALSE)</f>
        <v>325</v>
      </c>
    </row>
    <row r="81" spans="1:3" ht="15">
      <c r="A81" s="84" t="s">
        <v>2747</v>
      </c>
      <c r="B81" s="87" t="s">
        <v>526</v>
      </c>
      <c r="C81" s="83">
        <f>VLOOKUP(GroupVertices[[#This Row],[Vertex]],Vertices[],MATCH("ID",Vertices[[#Headers],[Vertex]:[Top Word Pairs in Tags by Salience]],0),FALSE)</f>
        <v>324</v>
      </c>
    </row>
    <row r="82" spans="1:3" ht="15">
      <c r="A82" s="84" t="s">
        <v>2747</v>
      </c>
      <c r="B82" s="87" t="s">
        <v>525</v>
      </c>
      <c r="C82" s="83">
        <f>VLOOKUP(GroupVertices[[#This Row],[Vertex]],Vertices[],MATCH("ID",Vertices[[#Headers],[Vertex]:[Top Word Pairs in Tags by Salience]],0),FALSE)</f>
        <v>323</v>
      </c>
    </row>
    <row r="83" spans="1:3" ht="15">
      <c r="A83" s="84" t="s">
        <v>2747</v>
      </c>
      <c r="B83" s="87" t="s">
        <v>524</v>
      </c>
      <c r="C83" s="83">
        <f>VLOOKUP(GroupVertices[[#This Row],[Vertex]],Vertices[],MATCH("ID",Vertices[[#Headers],[Vertex]:[Top Word Pairs in Tags by Salience]],0),FALSE)</f>
        <v>322</v>
      </c>
    </row>
    <row r="84" spans="1:3" ht="15">
      <c r="A84" s="84" t="s">
        <v>2747</v>
      </c>
      <c r="B84" s="87" t="s">
        <v>523</v>
      </c>
      <c r="C84" s="83">
        <f>VLOOKUP(GroupVertices[[#This Row],[Vertex]],Vertices[],MATCH("ID",Vertices[[#Headers],[Vertex]:[Top Word Pairs in Tags by Salience]],0),FALSE)</f>
        <v>321</v>
      </c>
    </row>
    <row r="85" spans="1:3" ht="15">
      <c r="A85" s="84" t="s">
        <v>2747</v>
      </c>
      <c r="B85" s="87" t="s">
        <v>522</v>
      </c>
      <c r="C85" s="83">
        <f>VLOOKUP(GroupVertices[[#This Row],[Vertex]],Vertices[],MATCH("ID",Vertices[[#Headers],[Vertex]:[Top Word Pairs in Tags by Salience]],0),FALSE)</f>
        <v>320</v>
      </c>
    </row>
    <row r="86" spans="1:3" ht="15">
      <c r="A86" s="84" t="s">
        <v>2747</v>
      </c>
      <c r="B86" s="87" t="s">
        <v>521</v>
      </c>
      <c r="C86" s="83">
        <f>VLOOKUP(GroupVertices[[#This Row],[Vertex]],Vertices[],MATCH("ID",Vertices[[#Headers],[Vertex]:[Top Word Pairs in Tags by Salience]],0),FALSE)</f>
        <v>319</v>
      </c>
    </row>
    <row r="87" spans="1:3" ht="15">
      <c r="A87" s="84" t="s">
        <v>2747</v>
      </c>
      <c r="B87" s="87" t="s">
        <v>520</v>
      </c>
      <c r="C87" s="83">
        <f>VLOOKUP(GroupVertices[[#This Row],[Vertex]],Vertices[],MATCH("ID",Vertices[[#Headers],[Vertex]:[Top Word Pairs in Tags by Salience]],0),FALSE)</f>
        <v>318</v>
      </c>
    </row>
    <row r="88" spans="1:3" ht="15">
      <c r="A88" s="84" t="s">
        <v>2747</v>
      </c>
      <c r="B88" s="87" t="s">
        <v>519</v>
      </c>
      <c r="C88" s="83">
        <f>VLOOKUP(GroupVertices[[#This Row],[Vertex]],Vertices[],MATCH("ID",Vertices[[#Headers],[Vertex]:[Top Word Pairs in Tags by Salience]],0),FALSE)</f>
        <v>317</v>
      </c>
    </row>
    <row r="89" spans="1:3" ht="15">
      <c r="A89" s="84" t="s">
        <v>2747</v>
      </c>
      <c r="B89" s="87" t="s">
        <v>518</v>
      </c>
      <c r="C89" s="83">
        <f>VLOOKUP(GroupVertices[[#This Row],[Vertex]],Vertices[],MATCH("ID",Vertices[[#Headers],[Vertex]:[Top Word Pairs in Tags by Salience]],0),FALSE)</f>
        <v>316</v>
      </c>
    </row>
    <row r="90" spans="1:3" ht="15">
      <c r="A90" s="84" t="s">
        <v>2747</v>
      </c>
      <c r="B90" s="87" t="s">
        <v>517</v>
      </c>
      <c r="C90" s="83">
        <f>VLOOKUP(GroupVertices[[#This Row],[Vertex]],Vertices[],MATCH("ID",Vertices[[#Headers],[Vertex]:[Top Word Pairs in Tags by Salience]],0),FALSE)</f>
        <v>315</v>
      </c>
    </row>
    <row r="91" spans="1:3" ht="15">
      <c r="A91" s="84" t="s">
        <v>2747</v>
      </c>
      <c r="B91" s="87" t="s">
        <v>516</v>
      </c>
      <c r="C91" s="83">
        <f>VLOOKUP(GroupVertices[[#This Row],[Vertex]],Vertices[],MATCH("ID",Vertices[[#Headers],[Vertex]:[Top Word Pairs in Tags by Salience]],0),FALSE)</f>
        <v>314</v>
      </c>
    </row>
    <row r="92" spans="1:3" ht="15">
      <c r="A92" s="84" t="s">
        <v>2747</v>
      </c>
      <c r="B92" s="87" t="s">
        <v>515</v>
      </c>
      <c r="C92" s="83">
        <f>VLOOKUP(GroupVertices[[#This Row],[Vertex]],Vertices[],MATCH("ID",Vertices[[#Headers],[Vertex]:[Top Word Pairs in Tags by Salience]],0),FALSE)</f>
        <v>313</v>
      </c>
    </row>
    <row r="93" spans="1:3" ht="15">
      <c r="A93" s="84" t="s">
        <v>2747</v>
      </c>
      <c r="B93" s="87" t="s">
        <v>514</v>
      </c>
      <c r="C93" s="83">
        <f>VLOOKUP(GroupVertices[[#This Row],[Vertex]],Vertices[],MATCH("ID",Vertices[[#Headers],[Vertex]:[Top Word Pairs in Tags by Salience]],0),FALSE)</f>
        <v>312</v>
      </c>
    </row>
    <row r="94" spans="1:3" ht="15">
      <c r="A94" s="84" t="s">
        <v>2747</v>
      </c>
      <c r="B94" s="87" t="s">
        <v>513</v>
      </c>
      <c r="C94" s="83">
        <f>VLOOKUP(GroupVertices[[#This Row],[Vertex]],Vertices[],MATCH("ID",Vertices[[#Headers],[Vertex]:[Top Word Pairs in Tags by Salience]],0),FALSE)</f>
        <v>311</v>
      </c>
    </row>
    <row r="95" spans="1:3" ht="15">
      <c r="A95" s="84" t="s">
        <v>2747</v>
      </c>
      <c r="B95" s="87" t="s">
        <v>512</v>
      </c>
      <c r="C95" s="83">
        <f>VLOOKUP(GroupVertices[[#This Row],[Vertex]],Vertices[],MATCH("ID",Vertices[[#Headers],[Vertex]:[Top Word Pairs in Tags by Salience]],0),FALSE)</f>
        <v>310</v>
      </c>
    </row>
    <row r="96" spans="1:3" ht="15">
      <c r="A96" s="84" t="s">
        <v>2747</v>
      </c>
      <c r="B96" s="87" t="s">
        <v>511</v>
      </c>
      <c r="C96" s="83">
        <f>VLOOKUP(GroupVertices[[#This Row],[Vertex]],Vertices[],MATCH("ID",Vertices[[#Headers],[Vertex]:[Top Word Pairs in Tags by Salience]],0),FALSE)</f>
        <v>309</v>
      </c>
    </row>
    <row r="97" spans="1:3" ht="15">
      <c r="A97" s="84" t="s">
        <v>2747</v>
      </c>
      <c r="B97" s="87" t="s">
        <v>510</v>
      </c>
      <c r="C97" s="83">
        <f>VLOOKUP(GroupVertices[[#This Row],[Vertex]],Vertices[],MATCH("ID",Vertices[[#Headers],[Vertex]:[Top Word Pairs in Tags by Salience]],0),FALSE)</f>
        <v>308</v>
      </c>
    </row>
    <row r="98" spans="1:3" ht="15">
      <c r="A98" s="84" t="s">
        <v>2747</v>
      </c>
      <c r="B98" s="87" t="s">
        <v>509</v>
      </c>
      <c r="C98" s="83">
        <f>VLOOKUP(GroupVertices[[#This Row],[Vertex]],Vertices[],MATCH("ID",Vertices[[#Headers],[Vertex]:[Top Word Pairs in Tags by Salience]],0),FALSE)</f>
        <v>307</v>
      </c>
    </row>
    <row r="99" spans="1:3" ht="15">
      <c r="A99" s="84" t="s">
        <v>2747</v>
      </c>
      <c r="B99" s="87" t="s">
        <v>508</v>
      </c>
      <c r="C99" s="83">
        <f>VLOOKUP(GroupVertices[[#This Row],[Vertex]],Vertices[],MATCH("ID",Vertices[[#Headers],[Vertex]:[Top Word Pairs in Tags by Salience]],0),FALSE)</f>
        <v>306</v>
      </c>
    </row>
    <row r="100" spans="1:3" ht="15">
      <c r="A100" s="84" t="s">
        <v>2747</v>
      </c>
      <c r="B100" s="87" t="s">
        <v>507</v>
      </c>
      <c r="C100" s="83">
        <f>VLOOKUP(GroupVertices[[#This Row],[Vertex]],Vertices[],MATCH("ID",Vertices[[#Headers],[Vertex]:[Top Word Pairs in Tags by Salience]],0),FALSE)</f>
        <v>305</v>
      </c>
    </row>
    <row r="101" spans="1:3" ht="15">
      <c r="A101" s="84" t="s">
        <v>2747</v>
      </c>
      <c r="B101" s="87" t="s">
        <v>506</v>
      </c>
      <c r="C101" s="83">
        <f>VLOOKUP(GroupVertices[[#This Row],[Vertex]],Vertices[],MATCH("ID",Vertices[[#Headers],[Vertex]:[Top Word Pairs in Tags by Salience]],0),FALSE)</f>
        <v>303</v>
      </c>
    </row>
    <row r="102" spans="1:3" ht="15">
      <c r="A102" s="84" t="s">
        <v>2748</v>
      </c>
      <c r="B102" s="87" t="s">
        <v>505</v>
      </c>
      <c r="C102" s="83">
        <f>VLOOKUP(GroupVertices[[#This Row],[Vertex]],Vertices[],MATCH("ID",Vertices[[#Headers],[Vertex]:[Top Word Pairs in Tags by Salience]],0),FALSE)</f>
        <v>302</v>
      </c>
    </row>
    <row r="103" spans="1:3" ht="15">
      <c r="A103" s="84" t="s">
        <v>2748</v>
      </c>
      <c r="B103" s="87" t="s">
        <v>650</v>
      </c>
      <c r="C103" s="83">
        <f>VLOOKUP(GroupVertices[[#This Row],[Vertex]],Vertices[],MATCH("ID",Vertices[[#Headers],[Vertex]:[Top Word Pairs in Tags by Salience]],0),FALSE)</f>
        <v>222</v>
      </c>
    </row>
    <row r="104" spans="1:3" ht="15">
      <c r="A104" s="84" t="s">
        <v>2748</v>
      </c>
      <c r="B104" s="87" t="s">
        <v>504</v>
      </c>
      <c r="C104" s="83">
        <f>VLOOKUP(GroupVertices[[#This Row],[Vertex]],Vertices[],MATCH("ID",Vertices[[#Headers],[Vertex]:[Top Word Pairs in Tags by Salience]],0),FALSE)</f>
        <v>301</v>
      </c>
    </row>
    <row r="105" spans="1:3" ht="15">
      <c r="A105" s="84" t="s">
        <v>2748</v>
      </c>
      <c r="B105" s="87" t="s">
        <v>503</v>
      </c>
      <c r="C105" s="83">
        <f>VLOOKUP(GroupVertices[[#This Row],[Vertex]],Vertices[],MATCH("ID",Vertices[[#Headers],[Vertex]:[Top Word Pairs in Tags by Salience]],0),FALSE)</f>
        <v>300</v>
      </c>
    </row>
    <row r="106" spans="1:3" ht="15">
      <c r="A106" s="84" t="s">
        <v>2748</v>
      </c>
      <c r="B106" s="87" t="s">
        <v>502</v>
      </c>
      <c r="C106" s="83">
        <f>VLOOKUP(GroupVertices[[#This Row],[Vertex]],Vertices[],MATCH("ID",Vertices[[#Headers],[Vertex]:[Top Word Pairs in Tags by Salience]],0),FALSE)</f>
        <v>299</v>
      </c>
    </row>
    <row r="107" spans="1:3" ht="15">
      <c r="A107" s="84" t="s">
        <v>2748</v>
      </c>
      <c r="B107" s="87" t="s">
        <v>501</v>
      </c>
      <c r="C107" s="83">
        <f>VLOOKUP(GroupVertices[[#This Row],[Vertex]],Vertices[],MATCH("ID",Vertices[[#Headers],[Vertex]:[Top Word Pairs in Tags by Salience]],0),FALSE)</f>
        <v>298</v>
      </c>
    </row>
    <row r="108" spans="1:3" ht="15">
      <c r="A108" s="84" t="s">
        <v>2748</v>
      </c>
      <c r="B108" s="87" t="s">
        <v>500</v>
      </c>
      <c r="C108" s="83">
        <f>VLOOKUP(GroupVertices[[#This Row],[Vertex]],Vertices[],MATCH("ID",Vertices[[#Headers],[Vertex]:[Top Word Pairs in Tags by Salience]],0),FALSE)</f>
        <v>297</v>
      </c>
    </row>
    <row r="109" spans="1:3" ht="15">
      <c r="A109" s="84" t="s">
        <v>2748</v>
      </c>
      <c r="B109" s="87" t="s">
        <v>499</v>
      </c>
      <c r="C109" s="83">
        <f>VLOOKUP(GroupVertices[[#This Row],[Vertex]],Vertices[],MATCH("ID",Vertices[[#Headers],[Vertex]:[Top Word Pairs in Tags by Salience]],0),FALSE)</f>
        <v>296</v>
      </c>
    </row>
    <row r="110" spans="1:3" ht="15">
      <c r="A110" s="84" t="s">
        <v>2748</v>
      </c>
      <c r="B110" s="87" t="s">
        <v>498</v>
      </c>
      <c r="C110" s="83">
        <f>VLOOKUP(GroupVertices[[#This Row],[Vertex]],Vertices[],MATCH("ID",Vertices[[#Headers],[Vertex]:[Top Word Pairs in Tags by Salience]],0),FALSE)</f>
        <v>295</v>
      </c>
    </row>
    <row r="111" spans="1:3" ht="15">
      <c r="A111" s="84" t="s">
        <v>2748</v>
      </c>
      <c r="B111" s="87" t="s">
        <v>497</v>
      </c>
      <c r="C111" s="83">
        <f>VLOOKUP(GroupVertices[[#This Row],[Vertex]],Vertices[],MATCH("ID",Vertices[[#Headers],[Vertex]:[Top Word Pairs in Tags by Salience]],0),FALSE)</f>
        <v>294</v>
      </c>
    </row>
    <row r="112" spans="1:3" ht="15">
      <c r="A112" s="84" t="s">
        <v>2748</v>
      </c>
      <c r="B112" s="87" t="s">
        <v>496</v>
      </c>
      <c r="C112" s="83">
        <f>VLOOKUP(GroupVertices[[#This Row],[Vertex]],Vertices[],MATCH("ID",Vertices[[#Headers],[Vertex]:[Top Word Pairs in Tags by Salience]],0),FALSE)</f>
        <v>293</v>
      </c>
    </row>
    <row r="113" spans="1:3" ht="15">
      <c r="A113" s="84" t="s">
        <v>2748</v>
      </c>
      <c r="B113" s="87" t="s">
        <v>495</v>
      </c>
      <c r="C113" s="83">
        <f>VLOOKUP(GroupVertices[[#This Row],[Vertex]],Vertices[],MATCH("ID",Vertices[[#Headers],[Vertex]:[Top Word Pairs in Tags by Salience]],0),FALSE)</f>
        <v>292</v>
      </c>
    </row>
    <row r="114" spans="1:3" ht="15">
      <c r="A114" s="84" t="s">
        <v>2748</v>
      </c>
      <c r="B114" s="87" t="s">
        <v>494</v>
      </c>
      <c r="C114" s="83">
        <f>VLOOKUP(GroupVertices[[#This Row],[Vertex]],Vertices[],MATCH("ID",Vertices[[#Headers],[Vertex]:[Top Word Pairs in Tags by Salience]],0),FALSE)</f>
        <v>291</v>
      </c>
    </row>
    <row r="115" spans="1:3" ht="15">
      <c r="A115" s="84" t="s">
        <v>2748</v>
      </c>
      <c r="B115" s="87" t="s">
        <v>493</v>
      </c>
      <c r="C115" s="83">
        <f>VLOOKUP(GroupVertices[[#This Row],[Vertex]],Vertices[],MATCH("ID",Vertices[[#Headers],[Vertex]:[Top Word Pairs in Tags by Salience]],0),FALSE)</f>
        <v>290</v>
      </c>
    </row>
    <row r="116" spans="1:3" ht="15">
      <c r="A116" s="84" t="s">
        <v>2748</v>
      </c>
      <c r="B116" s="87" t="s">
        <v>492</v>
      </c>
      <c r="C116" s="83">
        <f>VLOOKUP(GroupVertices[[#This Row],[Vertex]],Vertices[],MATCH("ID",Vertices[[#Headers],[Vertex]:[Top Word Pairs in Tags by Salience]],0),FALSE)</f>
        <v>289</v>
      </c>
    </row>
    <row r="117" spans="1:3" ht="15">
      <c r="A117" s="84" t="s">
        <v>2748</v>
      </c>
      <c r="B117" s="87" t="s">
        <v>491</v>
      </c>
      <c r="C117" s="83">
        <f>VLOOKUP(GroupVertices[[#This Row],[Vertex]],Vertices[],MATCH("ID",Vertices[[#Headers],[Vertex]:[Top Word Pairs in Tags by Salience]],0),FALSE)</f>
        <v>288</v>
      </c>
    </row>
    <row r="118" spans="1:3" ht="15">
      <c r="A118" s="84" t="s">
        <v>2748</v>
      </c>
      <c r="B118" s="87" t="s">
        <v>490</v>
      </c>
      <c r="C118" s="83">
        <f>VLOOKUP(GroupVertices[[#This Row],[Vertex]],Vertices[],MATCH("ID",Vertices[[#Headers],[Vertex]:[Top Word Pairs in Tags by Salience]],0),FALSE)</f>
        <v>287</v>
      </c>
    </row>
    <row r="119" spans="1:3" ht="15">
      <c r="A119" s="84" t="s">
        <v>2748</v>
      </c>
      <c r="B119" s="87" t="s">
        <v>489</v>
      </c>
      <c r="C119" s="83">
        <f>VLOOKUP(GroupVertices[[#This Row],[Vertex]],Vertices[],MATCH("ID",Vertices[[#Headers],[Vertex]:[Top Word Pairs in Tags by Salience]],0),FALSE)</f>
        <v>286</v>
      </c>
    </row>
    <row r="120" spans="1:3" ht="15">
      <c r="A120" s="84" t="s">
        <v>2748</v>
      </c>
      <c r="B120" s="87" t="s">
        <v>488</v>
      </c>
      <c r="C120" s="83">
        <f>VLOOKUP(GroupVertices[[#This Row],[Vertex]],Vertices[],MATCH("ID",Vertices[[#Headers],[Vertex]:[Top Word Pairs in Tags by Salience]],0),FALSE)</f>
        <v>285</v>
      </c>
    </row>
    <row r="121" spans="1:3" ht="15">
      <c r="A121" s="84" t="s">
        <v>2748</v>
      </c>
      <c r="B121" s="87" t="s">
        <v>487</v>
      </c>
      <c r="C121" s="83">
        <f>VLOOKUP(GroupVertices[[#This Row],[Vertex]],Vertices[],MATCH("ID",Vertices[[#Headers],[Vertex]:[Top Word Pairs in Tags by Salience]],0),FALSE)</f>
        <v>284</v>
      </c>
    </row>
    <row r="122" spans="1:3" ht="15">
      <c r="A122" s="84" t="s">
        <v>2748</v>
      </c>
      <c r="B122" s="87" t="s">
        <v>486</v>
      </c>
      <c r="C122" s="83">
        <f>VLOOKUP(GroupVertices[[#This Row],[Vertex]],Vertices[],MATCH("ID",Vertices[[#Headers],[Vertex]:[Top Word Pairs in Tags by Salience]],0),FALSE)</f>
        <v>283</v>
      </c>
    </row>
    <row r="123" spans="1:3" ht="15">
      <c r="A123" s="84" t="s">
        <v>2748</v>
      </c>
      <c r="B123" s="87" t="s">
        <v>485</v>
      </c>
      <c r="C123" s="83">
        <f>VLOOKUP(GroupVertices[[#This Row],[Vertex]],Vertices[],MATCH("ID",Vertices[[#Headers],[Vertex]:[Top Word Pairs in Tags by Salience]],0),FALSE)</f>
        <v>282</v>
      </c>
    </row>
    <row r="124" spans="1:3" ht="15">
      <c r="A124" s="84" t="s">
        <v>2748</v>
      </c>
      <c r="B124" s="87" t="s">
        <v>484</v>
      </c>
      <c r="C124" s="83">
        <f>VLOOKUP(GroupVertices[[#This Row],[Vertex]],Vertices[],MATCH("ID",Vertices[[#Headers],[Vertex]:[Top Word Pairs in Tags by Salience]],0),FALSE)</f>
        <v>281</v>
      </c>
    </row>
    <row r="125" spans="1:3" ht="15">
      <c r="A125" s="84" t="s">
        <v>2748</v>
      </c>
      <c r="B125" s="87" t="s">
        <v>483</v>
      </c>
      <c r="C125" s="83">
        <f>VLOOKUP(GroupVertices[[#This Row],[Vertex]],Vertices[],MATCH("ID",Vertices[[#Headers],[Vertex]:[Top Word Pairs in Tags by Salience]],0),FALSE)</f>
        <v>280</v>
      </c>
    </row>
    <row r="126" spans="1:3" ht="15">
      <c r="A126" s="84" t="s">
        <v>2748</v>
      </c>
      <c r="B126" s="87" t="s">
        <v>482</v>
      </c>
      <c r="C126" s="83">
        <f>VLOOKUP(GroupVertices[[#This Row],[Vertex]],Vertices[],MATCH("ID",Vertices[[#Headers],[Vertex]:[Top Word Pairs in Tags by Salience]],0),FALSE)</f>
        <v>279</v>
      </c>
    </row>
    <row r="127" spans="1:3" ht="15">
      <c r="A127" s="84" t="s">
        <v>2748</v>
      </c>
      <c r="B127" s="87" t="s">
        <v>481</v>
      </c>
      <c r="C127" s="83">
        <f>VLOOKUP(GroupVertices[[#This Row],[Vertex]],Vertices[],MATCH("ID",Vertices[[#Headers],[Vertex]:[Top Word Pairs in Tags by Salience]],0),FALSE)</f>
        <v>278</v>
      </c>
    </row>
    <row r="128" spans="1:3" ht="15">
      <c r="A128" s="84" t="s">
        <v>2748</v>
      </c>
      <c r="B128" s="87" t="s">
        <v>480</v>
      </c>
      <c r="C128" s="83">
        <f>VLOOKUP(GroupVertices[[#This Row],[Vertex]],Vertices[],MATCH("ID",Vertices[[#Headers],[Vertex]:[Top Word Pairs in Tags by Salience]],0),FALSE)</f>
        <v>277</v>
      </c>
    </row>
    <row r="129" spans="1:3" ht="15">
      <c r="A129" s="84" t="s">
        <v>2748</v>
      </c>
      <c r="B129" s="87" t="s">
        <v>479</v>
      </c>
      <c r="C129" s="83">
        <f>VLOOKUP(GroupVertices[[#This Row],[Vertex]],Vertices[],MATCH("ID",Vertices[[#Headers],[Vertex]:[Top Word Pairs in Tags by Salience]],0),FALSE)</f>
        <v>276</v>
      </c>
    </row>
    <row r="130" spans="1:3" ht="15">
      <c r="A130" s="84" t="s">
        <v>2748</v>
      </c>
      <c r="B130" s="87" t="s">
        <v>478</v>
      </c>
      <c r="C130" s="83">
        <f>VLOOKUP(GroupVertices[[#This Row],[Vertex]],Vertices[],MATCH("ID",Vertices[[#Headers],[Vertex]:[Top Word Pairs in Tags by Salience]],0),FALSE)</f>
        <v>275</v>
      </c>
    </row>
    <row r="131" spans="1:3" ht="15">
      <c r="A131" s="84" t="s">
        <v>2748</v>
      </c>
      <c r="B131" s="87" t="s">
        <v>477</v>
      </c>
      <c r="C131" s="83">
        <f>VLOOKUP(GroupVertices[[#This Row],[Vertex]],Vertices[],MATCH("ID",Vertices[[#Headers],[Vertex]:[Top Word Pairs in Tags by Salience]],0),FALSE)</f>
        <v>274</v>
      </c>
    </row>
    <row r="132" spans="1:3" ht="15">
      <c r="A132" s="84" t="s">
        <v>2748</v>
      </c>
      <c r="B132" s="87" t="s">
        <v>476</v>
      </c>
      <c r="C132" s="83">
        <f>VLOOKUP(GroupVertices[[#This Row],[Vertex]],Vertices[],MATCH("ID",Vertices[[#Headers],[Vertex]:[Top Word Pairs in Tags by Salience]],0),FALSE)</f>
        <v>273</v>
      </c>
    </row>
    <row r="133" spans="1:3" ht="15">
      <c r="A133" s="84" t="s">
        <v>2748</v>
      </c>
      <c r="B133" s="87" t="s">
        <v>475</v>
      </c>
      <c r="C133" s="83">
        <f>VLOOKUP(GroupVertices[[#This Row],[Vertex]],Vertices[],MATCH("ID",Vertices[[#Headers],[Vertex]:[Top Word Pairs in Tags by Salience]],0),FALSE)</f>
        <v>272</v>
      </c>
    </row>
    <row r="134" spans="1:3" ht="15">
      <c r="A134" s="84" t="s">
        <v>2748</v>
      </c>
      <c r="B134" s="87" t="s">
        <v>474</v>
      </c>
      <c r="C134" s="83">
        <f>VLOOKUP(GroupVertices[[#This Row],[Vertex]],Vertices[],MATCH("ID",Vertices[[#Headers],[Vertex]:[Top Word Pairs in Tags by Salience]],0),FALSE)</f>
        <v>271</v>
      </c>
    </row>
    <row r="135" spans="1:3" ht="15">
      <c r="A135" s="84" t="s">
        <v>2748</v>
      </c>
      <c r="B135" s="87" t="s">
        <v>473</v>
      </c>
      <c r="C135" s="83">
        <f>VLOOKUP(GroupVertices[[#This Row],[Vertex]],Vertices[],MATCH("ID",Vertices[[#Headers],[Vertex]:[Top Word Pairs in Tags by Salience]],0),FALSE)</f>
        <v>270</v>
      </c>
    </row>
    <row r="136" spans="1:3" ht="15">
      <c r="A136" s="84" t="s">
        <v>2748</v>
      </c>
      <c r="B136" s="87" t="s">
        <v>472</v>
      </c>
      <c r="C136" s="83">
        <f>VLOOKUP(GroupVertices[[#This Row],[Vertex]],Vertices[],MATCH("ID",Vertices[[#Headers],[Vertex]:[Top Word Pairs in Tags by Salience]],0),FALSE)</f>
        <v>269</v>
      </c>
    </row>
    <row r="137" spans="1:3" ht="15">
      <c r="A137" s="84" t="s">
        <v>2748</v>
      </c>
      <c r="B137" s="87" t="s">
        <v>471</v>
      </c>
      <c r="C137" s="83">
        <f>VLOOKUP(GroupVertices[[#This Row],[Vertex]],Vertices[],MATCH("ID",Vertices[[#Headers],[Vertex]:[Top Word Pairs in Tags by Salience]],0),FALSE)</f>
        <v>268</v>
      </c>
    </row>
    <row r="138" spans="1:3" ht="15">
      <c r="A138" s="84" t="s">
        <v>2748</v>
      </c>
      <c r="B138" s="87" t="s">
        <v>470</v>
      </c>
      <c r="C138" s="83">
        <f>VLOOKUP(GroupVertices[[#This Row],[Vertex]],Vertices[],MATCH("ID",Vertices[[#Headers],[Vertex]:[Top Word Pairs in Tags by Salience]],0),FALSE)</f>
        <v>267</v>
      </c>
    </row>
    <row r="139" spans="1:3" ht="15">
      <c r="A139" s="84" t="s">
        <v>2748</v>
      </c>
      <c r="B139" s="87" t="s">
        <v>469</v>
      </c>
      <c r="C139" s="83">
        <f>VLOOKUP(GroupVertices[[#This Row],[Vertex]],Vertices[],MATCH("ID",Vertices[[#Headers],[Vertex]:[Top Word Pairs in Tags by Salience]],0),FALSE)</f>
        <v>266</v>
      </c>
    </row>
    <row r="140" spans="1:3" ht="15">
      <c r="A140" s="84" t="s">
        <v>2748</v>
      </c>
      <c r="B140" s="87" t="s">
        <v>468</v>
      </c>
      <c r="C140" s="83">
        <f>VLOOKUP(GroupVertices[[#This Row],[Vertex]],Vertices[],MATCH("ID",Vertices[[#Headers],[Vertex]:[Top Word Pairs in Tags by Salience]],0),FALSE)</f>
        <v>265</v>
      </c>
    </row>
    <row r="141" spans="1:3" ht="15">
      <c r="A141" s="84" t="s">
        <v>2748</v>
      </c>
      <c r="B141" s="87" t="s">
        <v>467</v>
      </c>
      <c r="C141" s="83">
        <f>VLOOKUP(GroupVertices[[#This Row],[Vertex]],Vertices[],MATCH("ID",Vertices[[#Headers],[Vertex]:[Top Word Pairs in Tags by Salience]],0),FALSE)</f>
        <v>264</v>
      </c>
    </row>
    <row r="142" spans="1:3" ht="15">
      <c r="A142" s="84" t="s">
        <v>2748</v>
      </c>
      <c r="B142" s="87" t="s">
        <v>466</v>
      </c>
      <c r="C142" s="83">
        <f>VLOOKUP(GroupVertices[[#This Row],[Vertex]],Vertices[],MATCH("ID",Vertices[[#Headers],[Vertex]:[Top Word Pairs in Tags by Salience]],0),FALSE)</f>
        <v>263</v>
      </c>
    </row>
    <row r="143" spans="1:3" ht="15">
      <c r="A143" s="84" t="s">
        <v>2748</v>
      </c>
      <c r="B143" s="87" t="s">
        <v>465</v>
      </c>
      <c r="C143" s="83">
        <f>VLOOKUP(GroupVertices[[#This Row],[Vertex]],Vertices[],MATCH("ID",Vertices[[#Headers],[Vertex]:[Top Word Pairs in Tags by Salience]],0),FALSE)</f>
        <v>262</v>
      </c>
    </row>
    <row r="144" spans="1:3" ht="15">
      <c r="A144" s="84" t="s">
        <v>2748</v>
      </c>
      <c r="B144" s="87" t="s">
        <v>464</v>
      </c>
      <c r="C144" s="83">
        <f>VLOOKUP(GroupVertices[[#This Row],[Vertex]],Vertices[],MATCH("ID",Vertices[[#Headers],[Vertex]:[Top Word Pairs in Tags by Salience]],0),FALSE)</f>
        <v>261</v>
      </c>
    </row>
    <row r="145" spans="1:3" ht="15">
      <c r="A145" s="84" t="s">
        <v>2748</v>
      </c>
      <c r="B145" s="87" t="s">
        <v>463</v>
      </c>
      <c r="C145" s="83">
        <f>VLOOKUP(GroupVertices[[#This Row],[Vertex]],Vertices[],MATCH("ID",Vertices[[#Headers],[Vertex]:[Top Word Pairs in Tags by Salience]],0),FALSE)</f>
        <v>260</v>
      </c>
    </row>
    <row r="146" spans="1:3" ht="15">
      <c r="A146" s="84" t="s">
        <v>2748</v>
      </c>
      <c r="B146" s="87" t="s">
        <v>462</v>
      </c>
      <c r="C146" s="83">
        <f>VLOOKUP(GroupVertices[[#This Row],[Vertex]],Vertices[],MATCH("ID",Vertices[[#Headers],[Vertex]:[Top Word Pairs in Tags by Salience]],0),FALSE)</f>
        <v>259</v>
      </c>
    </row>
    <row r="147" spans="1:3" ht="15">
      <c r="A147" s="84" t="s">
        <v>2748</v>
      </c>
      <c r="B147" s="87" t="s">
        <v>461</v>
      </c>
      <c r="C147" s="83">
        <f>VLOOKUP(GroupVertices[[#This Row],[Vertex]],Vertices[],MATCH("ID",Vertices[[#Headers],[Vertex]:[Top Word Pairs in Tags by Salience]],0),FALSE)</f>
        <v>258</v>
      </c>
    </row>
    <row r="148" spans="1:3" ht="15">
      <c r="A148" s="84" t="s">
        <v>2748</v>
      </c>
      <c r="B148" s="87" t="s">
        <v>460</v>
      </c>
      <c r="C148" s="83">
        <f>VLOOKUP(GroupVertices[[#This Row],[Vertex]],Vertices[],MATCH("ID",Vertices[[#Headers],[Vertex]:[Top Word Pairs in Tags by Salience]],0),FALSE)</f>
        <v>257</v>
      </c>
    </row>
    <row r="149" spans="1:3" ht="15">
      <c r="A149" s="84" t="s">
        <v>2748</v>
      </c>
      <c r="B149" s="87" t="s">
        <v>459</v>
      </c>
      <c r="C149" s="83">
        <f>VLOOKUP(GroupVertices[[#This Row],[Vertex]],Vertices[],MATCH("ID",Vertices[[#Headers],[Vertex]:[Top Word Pairs in Tags by Salience]],0),FALSE)</f>
        <v>256</v>
      </c>
    </row>
    <row r="150" spans="1:3" ht="15">
      <c r="A150" s="84" t="s">
        <v>2748</v>
      </c>
      <c r="B150" s="87" t="s">
        <v>458</v>
      </c>
      <c r="C150" s="83">
        <f>VLOOKUP(GroupVertices[[#This Row],[Vertex]],Vertices[],MATCH("ID",Vertices[[#Headers],[Vertex]:[Top Word Pairs in Tags by Salience]],0),FALSE)</f>
        <v>255</v>
      </c>
    </row>
    <row r="151" spans="1:3" ht="15">
      <c r="A151" s="84" t="s">
        <v>2748</v>
      </c>
      <c r="B151" s="87" t="s">
        <v>457</v>
      </c>
      <c r="C151" s="83">
        <f>VLOOKUP(GroupVertices[[#This Row],[Vertex]],Vertices[],MATCH("ID",Vertices[[#Headers],[Vertex]:[Top Word Pairs in Tags by Salience]],0),FALSE)</f>
        <v>254</v>
      </c>
    </row>
    <row r="152" spans="1:3" ht="15">
      <c r="A152" s="84" t="s">
        <v>2748</v>
      </c>
      <c r="B152" s="87" t="s">
        <v>456</v>
      </c>
      <c r="C152" s="83">
        <f>VLOOKUP(GroupVertices[[#This Row],[Vertex]],Vertices[],MATCH("ID",Vertices[[#Headers],[Vertex]:[Top Word Pairs in Tags by Salience]],0),FALSE)</f>
        <v>253</v>
      </c>
    </row>
    <row r="153" spans="1:3" ht="15">
      <c r="A153" s="84" t="s">
        <v>2748</v>
      </c>
      <c r="B153" s="87" t="s">
        <v>455</v>
      </c>
      <c r="C153" s="83">
        <f>VLOOKUP(GroupVertices[[#This Row],[Vertex]],Vertices[],MATCH("ID",Vertices[[#Headers],[Vertex]:[Top Word Pairs in Tags by Salience]],0),FALSE)</f>
        <v>252</v>
      </c>
    </row>
    <row r="154" spans="1:3" ht="15">
      <c r="A154" s="84" t="s">
        <v>2748</v>
      </c>
      <c r="B154" s="87" t="s">
        <v>454</v>
      </c>
      <c r="C154" s="83">
        <f>VLOOKUP(GroupVertices[[#This Row],[Vertex]],Vertices[],MATCH("ID",Vertices[[#Headers],[Vertex]:[Top Word Pairs in Tags by Salience]],0),FALSE)</f>
        <v>251</v>
      </c>
    </row>
    <row r="155" spans="1:3" ht="15">
      <c r="A155" s="84" t="s">
        <v>2748</v>
      </c>
      <c r="B155" s="87" t="s">
        <v>453</v>
      </c>
      <c r="C155" s="83">
        <f>VLOOKUP(GroupVertices[[#This Row],[Vertex]],Vertices[],MATCH("ID",Vertices[[#Headers],[Vertex]:[Top Word Pairs in Tags by Salience]],0),FALSE)</f>
        <v>250</v>
      </c>
    </row>
    <row r="156" spans="1:3" ht="15">
      <c r="A156" s="84" t="s">
        <v>2748</v>
      </c>
      <c r="B156" s="87" t="s">
        <v>452</v>
      </c>
      <c r="C156" s="83">
        <f>VLOOKUP(GroupVertices[[#This Row],[Vertex]],Vertices[],MATCH("ID",Vertices[[#Headers],[Vertex]:[Top Word Pairs in Tags by Salience]],0),FALSE)</f>
        <v>249</v>
      </c>
    </row>
    <row r="157" spans="1:3" ht="15">
      <c r="A157" s="84" t="s">
        <v>2748</v>
      </c>
      <c r="B157" s="87" t="s">
        <v>451</v>
      </c>
      <c r="C157" s="83">
        <f>VLOOKUP(GroupVertices[[#This Row],[Vertex]],Vertices[],MATCH("ID",Vertices[[#Headers],[Vertex]:[Top Word Pairs in Tags by Salience]],0),FALSE)</f>
        <v>248</v>
      </c>
    </row>
    <row r="158" spans="1:3" ht="15">
      <c r="A158" s="84" t="s">
        <v>2748</v>
      </c>
      <c r="B158" s="87" t="s">
        <v>450</v>
      </c>
      <c r="C158" s="83">
        <f>VLOOKUP(GroupVertices[[#This Row],[Vertex]],Vertices[],MATCH("ID",Vertices[[#Headers],[Vertex]:[Top Word Pairs in Tags by Salience]],0),FALSE)</f>
        <v>247</v>
      </c>
    </row>
    <row r="159" spans="1:3" ht="15">
      <c r="A159" s="84" t="s">
        <v>2748</v>
      </c>
      <c r="B159" s="87" t="s">
        <v>449</v>
      </c>
      <c r="C159" s="83">
        <f>VLOOKUP(GroupVertices[[#This Row],[Vertex]],Vertices[],MATCH("ID",Vertices[[#Headers],[Vertex]:[Top Word Pairs in Tags by Salience]],0),FALSE)</f>
        <v>246</v>
      </c>
    </row>
    <row r="160" spans="1:3" ht="15">
      <c r="A160" s="84" t="s">
        <v>2748</v>
      </c>
      <c r="B160" s="87" t="s">
        <v>448</v>
      </c>
      <c r="C160" s="83">
        <f>VLOOKUP(GroupVertices[[#This Row],[Vertex]],Vertices[],MATCH("ID",Vertices[[#Headers],[Vertex]:[Top Word Pairs in Tags by Salience]],0),FALSE)</f>
        <v>245</v>
      </c>
    </row>
    <row r="161" spans="1:3" ht="15">
      <c r="A161" s="84" t="s">
        <v>2748</v>
      </c>
      <c r="B161" s="87" t="s">
        <v>447</v>
      </c>
      <c r="C161" s="83">
        <f>VLOOKUP(GroupVertices[[#This Row],[Vertex]],Vertices[],MATCH("ID",Vertices[[#Headers],[Vertex]:[Top Word Pairs in Tags by Salience]],0),FALSE)</f>
        <v>244</v>
      </c>
    </row>
    <row r="162" spans="1:3" ht="15">
      <c r="A162" s="84" t="s">
        <v>2748</v>
      </c>
      <c r="B162" s="87" t="s">
        <v>446</v>
      </c>
      <c r="C162" s="83">
        <f>VLOOKUP(GroupVertices[[#This Row],[Vertex]],Vertices[],MATCH("ID",Vertices[[#Headers],[Vertex]:[Top Word Pairs in Tags by Salience]],0),FALSE)</f>
        <v>243</v>
      </c>
    </row>
    <row r="163" spans="1:3" ht="15">
      <c r="A163" s="84" t="s">
        <v>2748</v>
      </c>
      <c r="B163" s="87" t="s">
        <v>445</v>
      </c>
      <c r="C163" s="83">
        <f>VLOOKUP(GroupVertices[[#This Row],[Vertex]],Vertices[],MATCH("ID",Vertices[[#Headers],[Vertex]:[Top Word Pairs in Tags by Salience]],0),FALSE)</f>
        <v>242</v>
      </c>
    </row>
    <row r="164" spans="1:3" ht="15">
      <c r="A164" s="84" t="s">
        <v>2748</v>
      </c>
      <c r="B164" s="87" t="s">
        <v>444</v>
      </c>
      <c r="C164" s="83">
        <f>VLOOKUP(GroupVertices[[#This Row],[Vertex]],Vertices[],MATCH("ID",Vertices[[#Headers],[Vertex]:[Top Word Pairs in Tags by Salience]],0),FALSE)</f>
        <v>241</v>
      </c>
    </row>
    <row r="165" spans="1:3" ht="15">
      <c r="A165" s="84" t="s">
        <v>2748</v>
      </c>
      <c r="B165" s="87" t="s">
        <v>443</v>
      </c>
      <c r="C165" s="83">
        <f>VLOOKUP(GroupVertices[[#This Row],[Vertex]],Vertices[],MATCH("ID",Vertices[[#Headers],[Vertex]:[Top Word Pairs in Tags by Salience]],0),FALSE)</f>
        <v>240</v>
      </c>
    </row>
    <row r="166" spans="1:3" ht="15">
      <c r="A166" s="84" t="s">
        <v>2748</v>
      </c>
      <c r="B166" s="87" t="s">
        <v>442</v>
      </c>
      <c r="C166" s="83">
        <f>VLOOKUP(GroupVertices[[#This Row],[Vertex]],Vertices[],MATCH("ID",Vertices[[#Headers],[Vertex]:[Top Word Pairs in Tags by Salience]],0),FALSE)</f>
        <v>239</v>
      </c>
    </row>
    <row r="167" spans="1:3" ht="15">
      <c r="A167" s="84" t="s">
        <v>2748</v>
      </c>
      <c r="B167" s="87" t="s">
        <v>441</v>
      </c>
      <c r="C167" s="83">
        <f>VLOOKUP(GroupVertices[[#This Row],[Vertex]],Vertices[],MATCH("ID",Vertices[[#Headers],[Vertex]:[Top Word Pairs in Tags by Salience]],0),FALSE)</f>
        <v>238</v>
      </c>
    </row>
    <row r="168" spans="1:3" ht="15">
      <c r="A168" s="84" t="s">
        <v>2748</v>
      </c>
      <c r="B168" s="87" t="s">
        <v>440</v>
      </c>
      <c r="C168" s="83">
        <f>VLOOKUP(GroupVertices[[#This Row],[Vertex]],Vertices[],MATCH("ID",Vertices[[#Headers],[Vertex]:[Top Word Pairs in Tags by Salience]],0),FALSE)</f>
        <v>237</v>
      </c>
    </row>
    <row r="169" spans="1:3" ht="15">
      <c r="A169" s="84" t="s">
        <v>2748</v>
      </c>
      <c r="B169" s="87" t="s">
        <v>439</v>
      </c>
      <c r="C169" s="83">
        <f>VLOOKUP(GroupVertices[[#This Row],[Vertex]],Vertices[],MATCH("ID",Vertices[[#Headers],[Vertex]:[Top Word Pairs in Tags by Salience]],0),FALSE)</f>
        <v>236</v>
      </c>
    </row>
    <row r="170" spans="1:3" ht="15">
      <c r="A170" s="84" t="s">
        <v>2748</v>
      </c>
      <c r="B170" s="87" t="s">
        <v>438</v>
      </c>
      <c r="C170" s="83">
        <f>VLOOKUP(GroupVertices[[#This Row],[Vertex]],Vertices[],MATCH("ID",Vertices[[#Headers],[Vertex]:[Top Word Pairs in Tags by Salience]],0),FALSE)</f>
        <v>235</v>
      </c>
    </row>
    <row r="171" spans="1:3" ht="15">
      <c r="A171" s="84" t="s">
        <v>2748</v>
      </c>
      <c r="B171" s="87" t="s">
        <v>437</v>
      </c>
      <c r="C171" s="83">
        <f>VLOOKUP(GroupVertices[[#This Row],[Vertex]],Vertices[],MATCH("ID",Vertices[[#Headers],[Vertex]:[Top Word Pairs in Tags by Salience]],0),FALSE)</f>
        <v>234</v>
      </c>
    </row>
    <row r="172" spans="1:3" ht="15">
      <c r="A172" s="84" t="s">
        <v>2748</v>
      </c>
      <c r="B172" s="87" t="s">
        <v>436</v>
      </c>
      <c r="C172" s="83">
        <f>VLOOKUP(GroupVertices[[#This Row],[Vertex]],Vertices[],MATCH("ID",Vertices[[#Headers],[Vertex]:[Top Word Pairs in Tags by Salience]],0),FALSE)</f>
        <v>233</v>
      </c>
    </row>
    <row r="173" spans="1:3" ht="15">
      <c r="A173" s="84" t="s">
        <v>2748</v>
      </c>
      <c r="B173" s="87" t="s">
        <v>435</v>
      </c>
      <c r="C173" s="83">
        <f>VLOOKUP(GroupVertices[[#This Row],[Vertex]],Vertices[],MATCH("ID",Vertices[[#Headers],[Vertex]:[Top Word Pairs in Tags by Salience]],0),FALSE)</f>
        <v>232</v>
      </c>
    </row>
    <row r="174" spans="1:3" ht="15">
      <c r="A174" s="84" t="s">
        <v>2748</v>
      </c>
      <c r="B174" s="87" t="s">
        <v>434</v>
      </c>
      <c r="C174" s="83">
        <f>VLOOKUP(GroupVertices[[#This Row],[Vertex]],Vertices[],MATCH("ID",Vertices[[#Headers],[Vertex]:[Top Word Pairs in Tags by Salience]],0),FALSE)</f>
        <v>231</v>
      </c>
    </row>
    <row r="175" spans="1:3" ht="15">
      <c r="A175" s="84" t="s">
        <v>2748</v>
      </c>
      <c r="B175" s="87" t="s">
        <v>433</v>
      </c>
      <c r="C175" s="83">
        <f>VLOOKUP(GroupVertices[[#This Row],[Vertex]],Vertices[],MATCH("ID",Vertices[[#Headers],[Vertex]:[Top Word Pairs in Tags by Salience]],0),FALSE)</f>
        <v>230</v>
      </c>
    </row>
    <row r="176" spans="1:3" ht="15">
      <c r="A176" s="84" t="s">
        <v>2748</v>
      </c>
      <c r="B176" s="87" t="s">
        <v>432</v>
      </c>
      <c r="C176" s="83">
        <f>VLOOKUP(GroupVertices[[#This Row],[Vertex]],Vertices[],MATCH("ID",Vertices[[#Headers],[Vertex]:[Top Word Pairs in Tags by Salience]],0),FALSE)</f>
        <v>229</v>
      </c>
    </row>
    <row r="177" spans="1:3" ht="15">
      <c r="A177" s="84" t="s">
        <v>2748</v>
      </c>
      <c r="B177" s="87" t="s">
        <v>431</v>
      </c>
      <c r="C177" s="83">
        <f>VLOOKUP(GroupVertices[[#This Row],[Vertex]],Vertices[],MATCH("ID",Vertices[[#Headers],[Vertex]:[Top Word Pairs in Tags by Salience]],0),FALSE)</f>
        <v>228</v>
      </c>
    </row>
    <row r="178" spans="1:3" ht="15">
      <c r="A178" s="84" t="s">
        <v>2748</v>
      </c>
      <c r="B178" s="87" t="s">
        <v>430</v>
      </c>
      <c r="C178" s="83">
        <f>VLOOKUP(GroupVertices[[#This Row],[Vertex]],Vertices[],MATCH("ID",Vertices[[#Headers],[Vertex]:[Top Word Pairs in Tags by Salience]],0),FALSE)</f>
        <v>227</v>
      </c>
    </row>
    <row r="179" spans="1:3" ht="15">
      <c r="A179" s="84" t="s">
        <v>2748</v>
      </c>
      <c r="B179" s="87" t="s">
        <v>429</v>
      </c>
      <c r="C179" s="83">
        <f>VLOOKUP(GroupVertices[[#This Row],[Vertex]],Vertices[],MATCH("ID",Vertices[[#Headers],[Vertex]:[Top Word Pairs in Tags by Salience]],0),FALSE)</f>
        <v>226</v>
      </c>
    </row>
    <row r="180" spans="1:3" ht="15">
      <c r="A180" s="84" t="s">
        <v>2748</v>
      </c>
      <c r="B180" s="87" t="s">
        <v>428</v>
      </c>
      <c r="C180" s="83">
        <f>VLOOKUP(GroupVertices[[#This Row],[Vertex]],Vertices[],MATCH("ID",Vertices[[#Headers],[Vertex]:[Top Word Pairs in Tags by Salience]],0),FALSE)</f>
        <v>225</v>
      </c>
    </row>
    <row r="181" spans="1:3" ht="15">
      <c r="A181" s="84" t="s">
        <v>2748</v>
      </c>
      <c r="B181" s="87" t="s">
        <v>427</v>
      </c>
      <c r="C181" s="83">
        <f>VLOOKUP(GroupVertices[[#This Row],[Vertex]],Vertices[],MATCH("ID",Vertices[[#Headers],[Vertex]:[Top Word Pairs in Tags by Salience]],0),FALSE)</f>
        <v>224</v>
      </c>
    </row>
    <row r="182" spans="1:3" ht="15">
      <c r="A182" s="84" t="s">
        <v>2748</v>
      </c>
      <c r="B182" s="87" t="s">
        <v>426</v>
      </c>
      <c r="C182" s="83">
        <f>VLOOKUP(GroupVertices[[#This Row],[Vertex]],Vertices[],MATCH("ID",Vertices[[#Headers],[Vertex]:[Top Word Pairs in Tags by Salience]],0),FALSE)</f>
        <v>223</v>
      </c>
    </row>
    <row r="183" spans="1:3" ht="15">
      <c r="A183" s="84" t="s">
        <v>2748</v>
      </c>
      <c r="B183" s="87" t="s">
        <v>425</v>
      </c>
      <c r="C183" s="83">
        <f>VLOOKUP(GroupVertices[[#This Row],[Vertex]],Vertices[],MATCH("ID",Vertices[[#Headers],[Vertex]:[Top Word Pairs in Tags by Salience]],0),FALSE)</f>
        <v>221</v>
      </c>
    </row>
    <row r="184" spans="1:3" ht="15">
      <c r="A184" s="84" t="s">
        <v>2749</v>
      </c>
      <c r="B184" s="87" t="s">
        <v>383</v>
      </c>
      <c r="C184" s="83">
        <f>VLOOKUP(GroupVertices[[#This Row],[Vertex]],Vertices[],MATCH("ID",Vertices[[#Headers],[Vertex]:[Top Word Pairs in Tags by Salience]],0),FALSE)</f>
        <v>175</v>
      </c>
    </row>
    <row r="185" spans="1:3" ht="15">
      <c r="A185" s="84" t="s">
        <v>2749</v>
      </c>
      <c r="B185" s="87" t="s">
        <v>642</v>
      </c>
      <c r="C185" s="83">
        <f>VLOOKUP(GroupVertices[[#This Row],[Vertex]],Vertices[],MATCH("ID",Vertices[[#Headers],[Vertex]:[Top Word Pairs in Tags by Salience]],0),FALSE)</f>
        <v>35</v>
      </c>
    </row>
    <row r="186" spans="1:3" ht="15">
      <c r="A186" s="84" t="s">
        <v>2749</v>
      </c>
      <c r="B186" s="87" t="s">
        <v>382</v>
      </c>
      <c r="C186" s="83">
        <f>VLOOKUP(GroupVertices[[#This Row],[Vertex]],Vertices[],MATCH("ID",Vertices[[#Headers],[Vertex]:[Top Word Pairs in Tags by Salience]],0),FALSE)</f>
        <v>174</v>
      </c>
    </row>
    <row r="187" spans="1:3" ht="15">
      <c r="A187" s="84" t="s">
        <v>2749</v>
      </c>
      <c r="B187" s="87" t="s">
        <v>381</v>
      </c>
      <c r="C187" s="83">
        <f>VLOOKUP(GroupVertices[[#This Row],[Vertex]],Vertices[],MATCH("ID",Vertices[[#Headers],[Vertex]:[Top Word Pairs in Tags by Salience]],0),FALSE)</f>
        <v>173</v>
      </c>
    </row>
    <row r="188" spans="1:3" ht="15">
      <c r="A188" s="84" t="s">
        <v>2749</v>
      </c>
      <c r="B188" s="87" t="s">
        <v>380</v>
      </c>
      <c r="C188" s="83">
        <f>VLOOKUP(GroupVertices[[#This Row],[Vertex]],Vertices[],MATCH("ID",Vertices[[#Headers],[Vertex]:[Top Word Pairs in Tags by Salience]],0),FALSE)</f>
        <v>172</v>
      </c>
    </row>
    <row r="189" spans="1:3" ht="15">
      <c r="A189" s="84" t="s">
        <v>2749</v>
      </c>
      <c r="B189" s="87" t="s">
        <v>379</v>
      </c>
      <c r="C189" s="83">
        <f>VLOOKUP(GroupVertices[[#This Row],[Vertex]],Vertices[],MATCH("ID",Vertices[[#Headers],[Vertex]:[Top Word Pairs in Tags by Salience]],0),FALSE)</f>
        <v>171</v>
      </c>
    </row>
    <row r="190" spans="1:3" ht="15">
      <c r="A190" s="84" t="s">
        <v>2749</v>
      </c>
      <c r="B190" s="87" t="s">
        <v>378</v>
      </c>
      <c r="C190" s="83">
        <f>VLOOKUP(GroupVertices[[#This Row],[Vertex]],Vertices[],MATCH("ID",Vertices[[#Headers],[Vertex]:[Top Word Pairs in Tags by Salience]],0),FALSE)</f>
        <v>170</v>
      </c>
    </row>
    <row r="191" spans="1:3" ht="15">
      <c r="A191" s="84" t="s">
        <v>2749</v>
      </c>
      <c r="B191" s="87" t="s">
        <v>377</v>
      </c>
      <c r="C191" s="83">
        <f>VLOOKUP(GroupVertices[[#This Row],[Vertex]],Vertices[],MATCH("ID",Vertices[[#Headers],[Vertex]:[Top Word Pairs in Tags by Salience]],0),FALSE)</f>
        <v>169</v>
      </c>
    </row>
    <row r="192" spans="1:3" ht="15">
      <c r="A192" s="84" t="s">
        <v>2749</v>
      </c>
      <c r="B192" s="87" t="s">
        <v>376</v>
      </c>
      <c r="C192" s="83">
        <f>VLOOKUP(GroupVertices[[#This Row],[Vertex]],Vertices[],MATCH("ID",Vertices[[#Headers],[Vertex]:[Top Word Pairs in Tags by Salience]],0),FALSE)</f>
        <v>168</v>
      </c>
    </row>
    <row r="193" spans="1:3" ht="15">
      <c r="A193" s="84" t="s">
        <v>2749</v>
      </c>
      <c r="B193" s="87" t="s">
        <v>375</v>
      </c>
      <c r="C193" s="83">
        <f>VLOOKUP(GroupVertices[[#This Row],[Vertex]],Vertices[],MATCH("ID",Vertices[[#Headers],[Vertex]:[Top Word Pairs in Tags by Salience]],0),FALSE)</f>
        <v>167</v>
      </c>
    </row>
    <row r="194" spans="1:3" ht="15">
      <c r="A194" s="84" t="s">
        <v>2749</v>
      </c>
      <c r="B194" s="87" t="s">
        <v>374</v>
      </c>
      <c r="C194" s="83">
        <f>VLOOKUP(GroupVertices[[#This Row],[Vertex]],Vertices[],MATCH("ID",Vertices[[#Headers],[Vertex]:[Top Word Pairs in Tags by Salience]],0),FALSE)</f>
        <v>166</v>
      </c>
    </row>
    <row r="195" spans="1:3" ht="15">
      <c r="A195" s="84" t="s">
        <v>2749</v>
      </c>
      <c r="B195" s="87" t="s">
        <v>373</v>
      </c>
      <c r="C195" s="83">
        <f>VLOOKUP(GroupVertices[[#This Row],[Vertex]],Vertices[],MATCH("ID",Vertices[[#Headers],[Vertex]:[Top Word Pairs in Tags by Salience]],0),FALSE)</f>
        <v>165</v>
      </c>
    </row>
    <row r="196" spans="1:3" ht="15">
      <c r="A196" s="84" t="s">
        <v>2749</v>
      </c>
      <c r="B196" s="87" t="s">
        <v>372</v>
      </c>
      <c r="C196" s="83">
        <f>VLOOKUP(GroupVertices[[#This Row],[Vertex]],Vertices[],MATCH("ID",Vertices[[#Headers],[Vertex]:[Top Word Pairs in Tags by Salience]],0),FALSE)</f>
        <v>164</v>
      </c>
    </row>
    <row r="197" spans="1:3" ht="15">
      <c r="A197" s="84" t="s">
        <v>2749</v>
      </c>
      <c r="B197" s="87" t="s">
        <v>371</v>
      </c>
      <c r="C197" s="83">
        <f>VLOOKUP(GroupVertices[[#This Row],[Vertex]],Vertices[],MATCH("ID",Vertices[[#Headers],[Vertex]:[Top Word Pairs in Tags by Salience]],0),FALSE)</f>
        <v>163</v>
      </c>
    </row>
    <row r="198" spans="1:3" ht="15">
      <c r="A198" s="84" t="s">
        <v>2749</v>
      </c>
      <c r="B198" s="87" t="s">
        <v>370</v>
      </c>
      <c r="C198" s="83">
        <f>VLOOKUP(GroupVertices[[#This Row],[Vertex]],Vertices[],MATCH("ID",Vertices[[#Headers],[Vertex]:[Top Word Pairs in Tags by Salience]],0),FALSE)</f>
        <v>162</v>
      </c>
    </row>
    <row r="199" spans="1:3" ht="15">
      <c r="A199" s="84" t="s">
        <v>2749</v>
      </c>
      <c r="B199" s="87" t="s">
        <v>369</v>
      </c>
      <c r="C199" s="83">
        <f>VLOOKUP(GroupVertices[[#This Row],[Vertex]],Vertices[],MATCH("ID",Vertices[[#Headers],[Vertex]:[Top Word Pairs in Tags by Salience]],0),FALSE)</f>
        <v>161</v>
      </c>
    </row>
    <row r="200" spans="1:3" ht="15">
      <c r="A200" s="84" t="s">
        <v>2749</v>
      </c>
      <c r="B200" s="87" t="s">
        <v>368</v>
      </c>
      <c r="C200" s="83">
        <f>VLOOKUP(GroupVertices[[#This Row],[Vertex]],Vertices[],MATCH("ID",Vertices[[#Headers],[Vertex]:[Top Word Pairs in Tags by Salience]],0),FALSE)</f>
        <v>160</v>
      </c>
    </row>
    <row r="201" spans="1:3" ht="15">
      <c r="A201" s="84" t="s">
        <v>2749</v>
      </c>
      <c r="B201" s="87" t="s">
        <v>367</v>
      </c>
      <c r="C201" s="83">
        <f>VLOOKUP(GroupVertices[[#This Row],[Vertex]],Vertices[],MATCH("ID",Vertices[[#Headers],[Vertex]:[Top Word Pairs in Tags by Salience]],0),FALSE)</f>
        <v>159</v>
      </c>
    </row>
    <row r="202" spans="1:3" ht="15">
      <c r="A202" s="84" t="s">
        <v>2749</v>
      </c>
      <c r="B202" s="87" t="s">
        <v>366</v>
      </c>
      <c r="C202" s="83">
        <f>VLOOKUP(GroupVertices[[#This Row],[Vertex]],Vertices[],MATCH("ID",Vertices[[#Headers],[Vertex]:[Top Word Pairs in Tags by Salience]],0),FALSE)</f>
        <v>158</v>
      </c>
    </row>
    <row r="203" spans="1:3" ht="15">
      <c r="A203" s="84" t="s">
        <v>2749</v>
      </c>
      <c r="B203" s="87" t="s">
        <v>365</v>
      </c>
      <c r="C203" s="83">
        <f>VLOOKUP(GroupVertices[[#This Row],[Vertex]],Vertices[],MATCH("ID",Vertices[[#Headers],[Vertex]:[Top Word Pairs in Tags by Salience]],0),FALSE)</f>
        <v>157</v>
      </c>
    </row>
    <row r="204" spans="1:3" ht="15">
      <c r="A204" s="84" t="s">
        <v>2749</v>
      </c>
      <c r="B204" s="87" t="s">
        <v>364</v>
      </c>
      <c r="C204" s="83">
        <f>VLOOKUP(GroupVertices[[#This Row],[Vertex]],Vertices[],MATCH("ID",Vertices[[#Headers],[Vertex]:[Top Word Pairs in Tags by Salience]],0),FALSE)</f>
        <v>156</v>
      </c>
    </row>
    <row r="205" spans="1:3" ht="15">
      <c r="A205" s="84" t="s">
        <v>2749</v>
      </c>
      <c r="B205" s="87" t="s">
        <v>363</v>
      </c>
      <c r="C205" s="83">
        <f>VLOOKUP(GroupVertices[[#This Row],[Vertex]],Vertices[],MATCH("ID",Vertices[[#Headers],[Vertex]:[Top Word Pairs in Tags by Salience]],0),FALSE)</f>
        <v>155</v>
      </c>
    </row>
    <row r="206" spans="1:3" ht="15">
      <c r="A206" s="84" t="s">
        <v>2749</v>
      </c>
      <c r="B206" s="87" t="s">
        <v>362</v>
      </c>
      <c r="C206" s="83">
        <f>VLOOKUP(GroupVertices[[#This Row],[Vertex]],Vertices[],MATCH("ID",Vertices[[#Headers],[Vertex]:[Top Word Pairs in Tags by Salience]],0),FALSE)</f>
        <v>154</v>
      </c>
    </row>
    <row r="207" spans="1:3" ht="15">
      <c r="A207" s="84" t="s">
        <v>2749</v>
      </c>
      <c r="B207" s="87" t="s">
        <v>361</v>
      </c>
      <c r="C207" s="83">
        <f>VLOOKUP(GroupVertices[[#This Row],[Vertex]],Vertices[],MATCH("ID",Vertices[[#Headers],[Vertex]:[Top Word Pairs in Tags by Salience]],0),FALSE)</f>
        <v>153</v>
      </c>
    </row>
    <row r="208" spans="1:3" ht="15">
      <c r="A208" s="84" t="s">
        <v>2749</v>
      </c>
      <c r="B208" s="87" t="s">
        <v>360</v>
      </c>
      <c r="C208" s="83">
        <f>VLOOKUP(GroupVertices[[#This Row],[Vertex]],Vertices[],MATCH("ID",Vertices[[#Headers],[Vertex]:[Top Word Pairs in Tags by Salience]],0),FALSE)</f>
        <v>152</v>
      </c>
    </row>
    <row r="209" spans="1:3" ht="15">
      <c r="A209" s="84" t="s">
        <v>2749</v>
      </c>
      <c r="B209" s="87" t="s">
        <v>359</v>
      </c>
      <c r="C209" s="83">
        <f>VLOOKUP(GroupVertices[[#This Row],[Vertex]],Vertices[],MATCH("ID",Vertices[[#Headers],[Vertex]:[Top Word Pairs in Tags by Salience]],0),FALSE)</f>
        <v>151</v>
      </c>
    </row>
    <row r="210" spans="1:3" ht="15">
      <c r="A210" s="84" t="s">
        <v>2749</v>
      </c>
      <c r="B210" s="87" t="s">
        <v>358</v>
      </c>
      <c r="C210" s="83">
        <f>VLOOKUP(GroupVertices[[#This Row],[Vertex]],Vertices[],MATCH("ID",Vertices[[#Headers],[Vertex]:[Top Word Pairs in Tags by Salience]],0),FALSE)</f>
        <v>150</v>
      </c>
    </row>
    <row r="211" spans="1:3" ht="15">
      <c r="A211" s="84" t="s">
        <v>2749</v>
      </c>
      <c r="B211" s="87" t="s">
        <v>326</v>
      </c>
      <c r="C211" s="83">
        <f>VLOOKUP(GroupVertices[[#This Row],[Vertex]],Vertices[],MATCH("ID",Vertices[[#Headers],[Vertex]:[Top Word Pairs in Tags by Salience]],0),FALSE)</f>
        <v>112</v>
      </c>
    </row>
    <row r="212" spans="1:3" ht="15">
      <c r="A212" s="84" t="s">
        <v>2749</v>
      </c>
      <c r="B212" s="87" t="s">
        <v>324</v>
      </c>
      <c r="C212" s="83">
        <f>VLOOKUP(GroupVertices[[#This Row],[Vertex]],Vertices[],MATCH("ID",Vertices[[#Headers],[Vertex]:[Top Word Pairs in Tags by Salience]],0),FALSE)</f>
        <v>109</v>
      </c>
    </row>
    <row r="213" spans="1:3" ht="15">
      <c r="A213" s="84" t="s">
        <v>2749</v>
      </c>
      <c r="B213" s="87" t="s">
        <v>270</v>
      </c>
      <c r="C213" s="83">
        <f>VLOOKUP(GroupVertices[[#This Row],[Vertex]],Vertices[],MATCH("ID",Vertices[[#Headers],[Vertex]:[Top Word Pairs in Tags by Salience]],0),FALSE)</f>
        <v>49</v>
      </c>
    </row>
    <row r="214" spans="1:3" ht="15">
      <c r="A214" s="84" t="s">
        <v>2749</v>
      </c>
      <c r="B214" s="87" t="s">
        <v>266</v>
      </c>
      <c r="C214" s="83">
        <f>VLOOKUP(GroupVertices[[#This Row],[Vertex]],Vertices[],MATCH("ID",Vertices[[#Headers],[Vertex]:[Top Word Pairs in Tags by Salience]],0),FALSE)</f>
        <v>44</v>
      </c>
    </row>
    <row r="215" spans="1:3" ht="15">
      <c r="A215" s="84" t="s">
        <v>2749</v>
      </c>
      <c r="B215" s="87" t="s">
        <v>265</v>
      </c>
      <c r="C215" s="83">
        <f>VLOOKUP(GroupVertices[[#This Row],[Vertex]],Vertices[],MATCH("ID",Vertices[[#Headers],[Vertex]:[Top Word Pairs in Tags by Salience]],0),FALSE)</f>
        <v>43</v>
      </c>
    </row>
    <row r="216" spans="1:3" ht="15">
      <c r="A216" s="84" t="s">
        <v>2749</v>
      </c>
      <c r="B216" s="87" t="s">
        <v>264</v>
      </c>
      <c r="C216" s="83">
        <f>VLOOKUP(GroupVertices[[#This Row],[Vertex]],Vertices[],MATCH("ID",Vertices[[#Headers],[Vertex]:[Top Word Pairs in Tags by Salience]],0),FALSE)</f>
        <v>42</v>
      </c>
    </row>
    <row r="217" spans="1:3" ht="15">
      <c r="A217" s="84" t="s">
        <v>2749</v>
      </c>
      <c r="B217" s="87" t="s">
        <v>263</v>
      </c>
      <c r="C217" s="83">
        <f>VLOOKUP(GroupVertices[[#This Row],[Vertex]],Vertices[],MATCH("ID",Vertices[[#Headers],[Vertex]:[Top Word Pairs in Tags by Salience]],0),FALSE)</f>
        <v>41</v>
      </c>
    </row>
    <row r="218" spans="1:3" ht="15">
      <c r="A218" s="84" t="s">
        <v>2749</v>
      </c>
      <c r="B218" s="87" t="s">
        <v>262</v>
      </c>
      <c r="C218" s="83">
        <f>VLOOKUP(GroupVertices[[#This Row],[Vertex]],Vertices[],MATCH("ID",Vertices[[#Headers],[Vertex]:[Top Word Pairs in Tags by Salience]],0),FALSE)</f>
        <v>40</v>
      </c>
    </row>
    <row r="219" spans="1:3" ht="15">
      <c r="A219" s="84" t="s">
        <v>2749</v>
      </c>
      <c r="B219" s="87" t="s">
        <v>261</v>
      </c>
      <c r="C219" s="83">
        <f>VLOOKUP(GroupVertices[[#This Row],[Vertex]],Vertices[],MATCH("ID",Vertices[[#Headers],[Vertex]:[Top Word Pairs in Tags by Salience]],0),FALSE)</f>
        <v>39</v>
      </c>
    </row>
    <row r="220" spans="1:3" ht="15">
      <c r="A220" s="84" t="s">
        <v>2749</v>
      </c>
      <c r="B220" s="87" t="s">
        <v>260</v>
      </c>
      <c r="C220" s="83">
        <f>VLOOKUP(GroupVertices[[#This Row],[Vertex]],Vertices[],MATCH("ID",Vertices[[#Headers],[Vertex]:[Top Word Pairs in Tags by Salience]],0),FALSE)</f>
        <v>38</v>
      </c>
    </row>
    <row r="221" spans="1:3" ht="15">
      <c r="A221" s="84" t="s">
        <v>2749</v>
      </c>
      <c r="B221" s="87" t="s">
        <v>259</v>
      </c>
      <c r="C221" s="83">
        <f>VLOOKUP(GroupVertices[[#This Row],[Vertex]],Vertices[],MATCH("ID",Vertices[[#Headers],[Vertex]:[Top Word Pairs in Tags by Salience]],0),FALSE)</f>
        <v>37</v>
      </c>
    </row>
    <row r="222" spans="1:3" ht="15">
      <c r="A222" s="84" t="s">
        <v>2749</v>
      </c>
      <c r="B222" s="87" t="s">
        <v>258</v>
      </c>
      <c r="C222" s="83">
        <f>VLOOKUP(GroupVertices[[#This Row],[Vertex]],Vertices[],MATCH("ID",Vertices[[#Headers],[Vertex]:[Top Word Pairs in Tags by Salience]],0),FALSE)</f>
        <v>36</v>
      </c>
    </row>
    <row r="223" spans="1:3" ht="15">
      <c r="A223" s="84" t="s">
        <v>2749</v>
      </c>
      <c r="B223" s="87" t="s">
        <v>257</v>
      </c>
      <c r="C223" s="83">
        <f>VLOOKUP(GroupVertices[[#This Row],[Vertex]],Vertices[],MATCH("ID",Vertices[[#Headers],[Vertex]:[Top Word Pairs in Tags by Salience]],0),FALSE)</f>
        <v>34</v>
      </c>
    </row>
    <row r="224" spans="1:3" ht="15">
      <c r="A224" s="84" t="s">
        <v>2750</v>
      </c>
      <c r="B224" s="87" t="s">
        <v>298</v>
      </c>
      <c r="C224" s="83">
        <f>VLOOKUP(GroupVertices[[#This Row],[Vertex]],Vertices[],MATCH("ID",Vertices[[#Headers],[Vertex]:[Top Word Pairs in Tags by Salience]],0),FALSE)</f>
        <v>79</v>
      </c>
    </row>
    <row r="225" spans="1:3" ht="15">
      <c r="A225" s="84" t="s">
        <v>2750</v>
      </c>
      <c r="B225" s="87" t="s">
        <v>614</v>
      </c>
      <c r="C225" s="83">
        <f>VLOOKUP(GroupVertices[[#This Row],[Vertex]],Vertices[],MATCH("ID",Vertices[[#Headers],[Vertex]:[Top Word Pairs in Tags by Salience]],0),FALSE)</f>
        <v>54</v>
      </c>
    </row>
    <row r="226" spans="1:3" ht="15">
      <c r="A226" s="84" t="s">
        <v>2750</v>
      </c>
      <c r="B226" s="87" t="s">
        <v>297</v>
      </c>
      <c r="C226" s="83">
        <f>VLOOKUP(GroupVertices[[#This Row],[Vertex]],Vertices[],MATCH("ID",Vertices[[#Headers],[Vertex]:[Top Word Pairs in Tags by Salience]],0),FALSE)</f>
        <v>78</v>
      </c>
    </row>
    <row r="227" spans="1:3" ht="15">
      <c r="A227" s="84" t="s">
        <v>2750</v>
      </c>
      <c r="B227" s="87" t="s">
        <v>296</v>
      </c>
      <c r="C227" s="83">
        <f>VLOOKUP(GroupVertices[[#This Row],[Vertex]],Vertices[],MATCH("ID",Vertices[[#Headers],[Vertex]:[Top Word Pairs in Tags by Salience]],0),FALSE)</f>
        <v>77</v>
      </c>
    </row>
    <row r="228" spans="1:3" ht="15">
      <c r="A228" s="84" t="s">
        <v>2750</v>
      </c>
      <c r="B228" s="87" t="s">
        <v>295</v>
      </c>
      <c r="C228" s="83">
        <f>VLOOKUP(GroupVertices[[#This Row],[Vertex]],Vertices[],MATCH("ID",Vertices[[#Headers],[Vertex]:[Top Word Pairs in Tags by Salience]],0),FALSE)</f>
        <v>76</v>
      </c>
    </row>
    <row r="229" spans="1:3" ht="15">
      <c r="A229" s="84" t="s">
        <v>2750</v>
      </c>
      <c r="B229" s="87" t="s">
        <v>294</v>
      </c>
      <c r="C229" s="83">
        <f>VLOOKUP(GroupVertices[[#This Row],[Vertex]],Vertices[],MATCH("ID",Vertices[[#Headers],[Vertex]:[Top Word Pairs in Tags by Salience]],0),FALSE)</f>
        <v>75</v>
      </c>
    </row>
    <row r="230" spans="1:3" ht="15">
      <c r="A230" s="84" t="s">
        <v>2750</v>
      </c>
      <c r="B230" s="87" t="s">
        <v>293</v>
      </c>
      <c r="C230" s="83">
        <f>VLOOKUP(GroupVertices[[#This Row],[Vertex]],Vertices[],MATCH("ID",Vertices[[#Headers],[Vertex]:[Top Word Pairs in Tags by Salience]],0),FALSE)</f>
        <v>74</v>
      </c>
    </row>
    <row r="231" spans="1:3" ht="15">
      <c r="A231" s="84" t="s">
        <v>2750</v>
      </c>
      <c r="B231" s="87" t="s">
        <v>292</v>
      </c>
      <c r="C231" s="83">
        <f>VLOOKUP(GroupVertices[[#This Row],[Vertex]],Vertices[],MATCH("ID",Vertices[[#Headers],[Vertex]:[Top Word Pairs in Tags by Salience]],0),FALSE)</f>
        <v>73</v>
      </c>
    </row>
    <row r="232" spans="1:3" ht="15">
      <c r="A232" s="84" t="s">
        <v>2750</v>
      </c>
      <c r="B232" s="87" t="s">
        <v>291</v>
      </c>
      <c r="C232" s="83">
        <f>VLOOKUP(GroupVertices[[#This Row],[Vertex]],Vertices[],MATCH("ID",Vertices[[#Headers],[Vertex]:[Top Word Pairs in Tags by Salience]],0),FALSE)</f>
        <v>72</v>
      </c>
    </row>
    <row r="233" spans="1:3" ht="15">
      <c r="A233" s="84" t="s">
        <v>2750</v>
      </c>
      <c r="B233" s="87" t="s">
        <v>290</v>
      </c>
      <c r="C233" s="83">
        <f>VLOOKUP(GroupVertices[[#This Row],[Vertex]],Vertices[],MATCH("ID",Vertices[[#Headers],[Vertex]:[Top Word Pairs in Tags by Salience]],0),FALSE)</f>
        <v>71</v>
      </c>
    </row>
    <row r="234" spans="1:3" ht="15">
      <c r="A234" s="84" t="s">
        <v>2750</v>
      </c>
      <c r="B234" s="87" t="s">
        <v>289</v>
      </c>
      <c r="C234" s="83">
        <f>VLOOKUP(GroupVertices[[#This Row],[Vertex]],Vertices[],MATCH("ID",Vertices[[#Headers],[Vertex]:[Top Word Pairs in Tags by Salience]],0),FALSE)</f>
        <v>70</v>
      </c>
    </row>
    <row r="235" spans="1:3" ht="15">
      <c r="A235" s="84" t="s">
        <v>2750</v>
      </c>
      <c r="B235" s="87" t="s">
        <v>288</v>
      </c>
      <c r="C235" s="83">
        <f>VLOOKUP(GroupVertices[[#This Row],[Vertex]],Vertices[],MATCH("ID",Vertices[[#Headers],[Vertex]:[Top Word Pairs in Tags by Salience]],0),FALSE)</f>
        <v>69</v>
      </c>
    </row>
    <row r="236" spans="1:3" ht="15">
      <c r="A236" s="84" t="s">
        <v>2750</v>
      </c>
      <c r="B236" s="87" t="s">
        <v>287</v>
      </c>
      <c r="C236" s="83">
        <f>VLOOKUP(GroupVertices[[#This Row],[Vertex]],Vertices[],MATCH("ID",Vertices[[#Headers],[Vertex]:[Top Word Pairs in Tags by Salience]],0),FALSE)</f>
        <v>68</v>
      </c>
    </row>
    <row r="237" spans="1:3" ht="15">
      <c r="A237" s="84" t="s">
        <v>2750</v>
      </c>
      <c r="B237" s="87" t="s">
        <v>286</v>
      </c>
      <c r="C237" s="83">
        <f>VLOOKUP(GroupVertices[[#This Row],[Vertex]],Vertices[],MATCH("ID",Vertices[[#Headers],[Vertex]:[Top Word Pairs in Tags by Salience]],0),FALSE)</f>
        <v>67</v>
      </c>
    </row>
    <row r="238" spans="1:3" ht="15">
      <c r="A238" s="84" t="s">
        <v>2750</v>
      </c>
      <c r="B238" s="87" t="s">
        <v>285</v>
      </c>
      <c r="C238" s="83">
        <f>VLOOKUP(GroupVertices[[#This Row],[Vertex]],Vertices[],MATCH("ID",Vertices[[#Headers],[Vertex]:[Top Word Pairs in Tags by Salience]],0),FALSE)</f>
        <v>66</v>
      </c>
    </row>
    <row r="239" spans="1:3" ht="15">
      <c r="A239" s="84" t="s">
        <v>2750</v>
      </c>
      <c r="B239" s="87" t="s">
        <v>284</v>
      </c>
      <c r="C239" s="83">
        <f>VLOOKUP(GroupVertices[[#This Row],[Vertex]],Vertices[],MATCH("ID",Vertices[[#Headers],[Vertex]:[Top Word Pairs in Tags by Salience]],0),FALSE)</f>
        <v>65</v>
      </c>
    </row>
    <row r="240" spans="1:3" ht="15">
      <c r="A240" s="84" t="s">
        <v>2750</v>
      </c>
      <c r="B240" s="87" t="s">
        <v>283</v>
      </c>
      <c r="C240" s="83">
        <f>VLOOKUP(GroupVertices[[#This Row],[Vertex]],Vertices[],MATCH("ID",Vertices[[#Headers],[Vertex]:[Top Word Pairs in Tags by Salience]],0),FALSE)</f>
        <v>64</v>
      </c>
    </row>
    <row r="241" spans="1:3" ht="15">
      <c r="A241" s="84" t="s">
        <v>2750</v>
      </c>
      <c r="B241" s="87" t="s">
        <v>282</v>
      </c>
      <c r="C241" s="83">
        <f>VLOOKUP(GroupVertices[[#This Row],[Vertex]],Vertices[],MATCH("ID",Vertices[[#Headers],[Vertex]:[Top Word Pairs in Tags by Salience]],0),FALSE)</f>
        <v>63</v>
      </c>
    </row>
    <row r="242" spans="1:3" ht="15">
      <c r="A242" s="84" t="s">
        <v>2750</v>
      </c>
      <c r="B242" s="87" t="s">
        <v>281</v>
      </c>
      <c r="C242" s="83">
        <f>VLOOKUP(GroupVertices[[#This Row],[Vertex]],Vertices[],MATCH("ID",Vertices[[#Headers],[Vertex]:[Top Word Pairs in Tags by Salience]],0),FALSE)</f>
        <v>62</v>
      </c>
    </row>
    <row r="243" spans="1:3" ht="15">
      <c r="A243" s="84" t="s">
        <v>2750</v>
      </c>
      <c r="B243" s="87" t="s">
        <v>280</v>
      </c>
      <c r="C243" s="83">
        <f>VLOOKUP(GroupVertices[[#This Row],[Vertex]],Vertices[],MATCH("ID",Vertices[[#Headers],[Vertex]:[Top Word Pairs in Tags by Salience]],0),FALSE)</f>
        <v>61</v>
      </c>
    </row>
    <row r="244" spans="1:3" ht="15">
      <c r="A244" s="84" t="s">
        <v>2750</v>
      </c>
      <c r="B244" s="87" t="s">
        <v>279</v>
      </c>
      <c r="C244" s="83">
        <f>VLOOKUP(GroupVertices[[#This Row],[Vertex]],Vertices[],MATCH("ID",Vertices[[#Headers],[Vertex]:[Top Word Pairs in Tags by Salience]],0),FALSE)</f>
        <v>60</v>
      </c>
    </row>
    <row r="245" spans="1:3" ht="15">
      <c r="A245" s="84" t="s">
        <v>2750</v>
      </c>
      <c r="B245" s="87" t="s">
        <v>278</v>
      </c>
      <c r="C245" s="83">
        <f>VLOOKUP(GroupVertices[[#This Row],[Vertex]],Vertices[],MATCH("ID",Vertices[[#Headers],[Vertex]:[Top Word Pairs in Tags by Salience]],0),FALSE)</f>
        <v>59</v>
      </c>
    </row>
    <row r="246" spans="1:3" ht="15">
      <c r="A246" s="84" t="s">
        <v>2750</v>
      </c>
      <c r="B246" s="87" t="s">
        <v>277</v>
      </c>
      <c r="C246" s="83">
        <f>VLOOKUP(GroupVertices[[#This Row],[Vertex]],Vertices[],MATCH("ID",Vertices[[#Headers],[Vertex]:[Top Word Pairs in Tags by Salience]],0),FALSE)</f>
        <v>58</v>
      </c>
    </row>
    <row r="247" spans="1:3" ht="15">
      <c r="A247" s="84" t="s">
        <v>2750</v>
      </c>
      <c r="B247" s="87" t="s">
        <v>276</v>
      </c>
      <c r="C247" s="83">
        <f>VLOOKUP(GroupVertices[[#This Row],[Vertex]],Vertices[],MATCH("ID",Vertices[[#Headers],[Vertex]:[Top Word Pairs in Tags by Salience]],0),FALSE)</f>
        <v>57</v>
      </c>
    </row>
    <row r="248" spans="1:3" ht="15">
      <c r="A248" s="84" t="s">
        <v>2750</v>
      </c>
      <c r="B248" s="87" t="s">
        <v>275</v>
      </c>
      <c r="C248" s="83">
        <f>VLOOKUP(GroupVertices[[#This Row],[Vertex]],Vertices[],MATCH("ID",Vertices[[#Headers],[Vertex]:[Top Word Pairs in Tags by Salience]],0),FALSE)</f>
        <v>56</v>
      </c>
    </row>
    <row r="249" spans="1:3" ht="15">
      <c r="A249" s="84" t="s">
        <v>2750</v>
      </c>
      <c r="B249" s="87" t="s">
        <v>274</v>
      </c>
      <c r="C249" s="83">
        <f>VLOOKUP(GroupVertices[[#This Row],[Vertex]],Vertices[],MATCH("ID",Vertices[[#Headers],[Vertex]:[Top Word Pairs in Tags by Salience]],0),FALSE)</f>
        <v>55</v>
      </c>
    </row>
    <row r="250" spans="1:3" ht="15">
      <c r="A250" s="84" t="s">
        <v>2750</v>
      </c>
      <c r="B250" s="87" t="s">
        <v>273</v>
      </c>
      <c r="C250" s="83">
        <f>VLOOKUP(GroupVertices[[#This Row],[Vertex]],Vertices[],MATCH("ID",Vertices[[#Headers],[Vertex]:[Top Word Pairs in Tags by Salience]],0),FALSE)</f>
        <v>53</v>
      </c>
    </row>
    <row r="251" spans="1:3" ht="15">
      <c r="A251" s="84" t="s">
        <v>2751</v>
      </c>
      <c r="B251" s="87" t="s">
        <v>320</v>
      </c>
      <c r="C251" s="83">
        <f>VLOOKUP(GroupVertices[[#This Row],[Vertex]],Vertices[],MATCH("ID",Vertices[[#Headers],[Vertex]:[Top Word Pairs in Tags by Salience]],0),FALSE)</f>
        <v>105</v>
      </c>
    </row>
    <row r="252" spans="1:3" ht="15">
      <c r="A252" s="84" t="s">
        <v>2751</v>
      </c>
      <c r="B252" s="87" t="s">
        <v>630</v>
      </c>
      <c r="C252" s="83">
        <f>VLOOKUP(GroupVertices[[#This Row],[Vertex]],Vertices[],MATCH("ID",Vertices[[#Headers],[Vertex]:[Top Word Pairs in Tags by Salience]],0),FALSE)</f>
        <v>4</v>
      </c>
    </row>
    <row r="253" spans="1:3" ht="15">
      <c r="A253" s="84" t="s">
        <v>2751</v>
      </c>
      <c r="B253" s="87" t="s">
        <v>268</v>
      </c>
      <c r="C253" s="83">
        <f>VLOOKUP(GroupVertices[[#This Row],[Vertex]],Vertices[],MATCH("ID",Vertices[[#Headers],[Vertex]:[Top Word Pairs in Tags by Salience]],0),FALSE)</f>
        <v>46</v>
      </c>
    </row>
    <row r="254" spans="1:3" ht="15">
      <c r="A254" s="84" t="s">
        <v>2751</v>
      </c>
      <c r="B254" s="87" t="s">
        <v>267</v>
      </c>
      <c r="C254" s="83">
        <f>VLOOKUP(GroupVertices[[#This Row],[Vertex]],Vertices[],MATCH("ID",Vertices[[#Headers],[Vertex]:[Top Word Pairs in Tags by Salience]],0),FALSE)</f>
        <v>45</v>
      </c>
    </row>
    <row r="255" spans="1:3" ht="15">
      <c r="A255" s="84" t="s">
        <v>2751</v>
      </c>
      <c r="B255" s="87" t="s">
        <v>249</v>
      </c>
      <c r="C255" s="83">
        <f>VLOOKUP(GroupVertices[[#This Row],[Vertex]],Vertices[],MATCH("ID",Vertices[[#Headers],[Vertex]:[Top Word Pairs in Tags by Salience]],0),FALSE)</f>
        <v>25</v>
      </c>
    </row>
    <row r="256" spans="1:3" ht="15">
      <c r="A256" s="84" t="s">
        <v>2751</v>
      </c>
      <c r="B256" s="87" t="s">
        <v>248</v>
      </c>
      <c r="C256" s="83">
        <f>VLOOKUP(GroupVertices[[#This Row],[Vertex]],Vertices[],MATCH("ID",Vertices[[#Headers],[Vertex]:[Top Word Pairs in Tags by Salience]],0),FALSE)</f>
        <v>24</v>
      </c>
    </row>
    <row r="257" spans="1:3" ht="15">
      <c r="A257" s="84" t="s">
        <v>2751</v>
      </c>
      <c r="B257" s="87" t="s">
        <v>247</v>
      </c>
      <c r="C257" s="83">
        <f>VLOOKUP(GroupVertices[[#This Row],[Vertex]],Vertices[],MATCH("ID",Vertices[[#Headers],[Vertex]:[Top Word Pairs in Tags by Salience]],0),FALSE)</f>
        <v>23</v>
      </c>
    </row>
    <row r="258" spans="1:3" ht="15">
      <c r="A258" s="84" t="s">
        <v>2751</v>
      </c>
      <c r="B258" s="87" t="s">
        <v>246</v>
      </c>
      <c r="C258" s="83">
        <f>VLOOKUP(GroupVertices[[#This Row],[Vertex]],Vertices[],MATCH("ID",Vertices[[#Headers],[Vertex]:[Top Word Pairs in Tags by Salience]],0),FALSE)</f>
        <v>22</v>
      </c>
    </row>
    <row r="259" spans="1:3" ht="15">
      <c r="A259" s="84" t="s">
        <v>2751</v>
      </c>
      <c r="B259" s="87" t="s">
        <v>245</v>
      </c>
      <c r="C259" s="83">
        <f>VLOOKUP(GroupVertices[[#This Row],[Vertex]],Vertices[],MATCH("ID",Vertices[[#Headers],[Vertex]:[Top Word Pairs in Tags by Salience]],0),FALSE)</f>
        <v>21</v>
      </c>
    </row>
    <row r="260" spans="1:3" ht="15">
      <c r="A260" s="84" t="s">
        <v>2751</v>
      </c>
      <c r="B260" s="87" t="s">
        <v>244</v>
      </c>
      <c r="C260" s="83">
        <f>VLOOKUP(GroupVertices[[#This Row],[Vertex]],Vertices[],MATCH("ID",Vertices[[#Headers],[Vertex]:[Top Word Pairs in Tags by Salience]],0),FALSE)</f>
        <v>20</v>
      </c>
    </row>
    <row r="261" spans="1:3" ht="15">
      <c r="A261" s="84" t="s">
        <v>2751</v>
      </c>
      <c r="B261" s="87" t="s">
        <v>243</v>
      </c>
      <c r="C261" s="83">
        <f>VLOOKUP(GroupVertices[[#This Row],[Vertex]],Vertices[],MATCH("ID",Vertices[[#Headers],[Vertex]:[Top Word Pairs in Tags by Salience]],0),FALSE)</f>
        <v>19</v>
      </c>
    </row>
    <row r="262" spans="1:3" ht="15">
      <c r="A262" s="84" t="s">
        <v>2751</v>
      </c>
      <c r="B262" s="87" t="s">
        <v>242</v>
      </c>
      <c r="C262" s="83">
        <f>VLOOKUP(GroupVertices[[#This Row],[Vertex]],Vertices[],MATCH("ID",Vertices[[#Headers],[Vertex]:[Top Word Pairs in Tags by Salience]],0),FALSE)</f>
        <v>18</v>
      </c>
    </row>
    <row r="263" spans="1:3" ht="15">
      <c r="A263" s="84" t="s">
        <v>2751</v>
      </c>
      <c r="B263" s="87" t="s">
        <v>241</v>
      </c>
      <c r="C263" s="83">
        <f>VLOOKUP(GroupVertices[[#This Row],[Vertex]],Vertices[],MATCH("ID",Vertices[[#Headers],[Vertex]:[Top Word Pairs in Tags by Salience]],0),FALSE)</f>
        <v>17</v>
      </c>
    </row>
    <row r="264" spans="1:3" ht="15">
      <c r="A264" s="84" t="s">
        <v>2751</v>
      </c>
      <c r="B264" s="87" t="s">
        <v>240</v>
      </c>
      <c r="C264" s="83">
        <f>VLOOKUP(GroupVertices[[#This Row],[Vertex]],Vertices[],MATCH("ID",Vertices[[#Headers],[Vertex]:[Top Word Pairs in Tags by Salience]],0),FALSE)</f>
        <v>16</v>
      </c>
    </row>
    <row r="265" spans="1:3" ht="15">
      <c r="A265" s="84" t="s">
        <v>2751</v>
      </c>
      <c r="B265" s="87" t="s">
        <v>239</v>
      </c>
      <c r="C265" s="83">
        <f>VLOOKUP(GroupVertices[[#This Row],[Vertex]],Vertices[],MATCH("ID",Vertices[[#Headers],[Vertex]:[Top Word Pairs in Tags by Salience]],0),FALSE)</f>
        <v>15</v>
      </c>
    </row>
    <row r="266" spans="1:3" ht="15">
      <c r="A266" s="84" t="s">
        <v>2751</v>
      </c>
      <c r="B266" s="87" t="s">
        <v>238</v>
      </c>
      <c r="C266" s="83">
        <f>VLOOKUP(GroupVertices[[#This Row],[Vertex]],Vertices[],MATCH("ID",Vertices[[#Headers],[Vertex]:[Top Word Pairs in Tags by Salience]],0),FALSE)</f>
        <v>14</v>
      </c>
    </row>
    <row r="267" spans="1:3" ht="15">
      <c r="A267" s="84" t="s">
        <v>2751</v>
      </c>
      <c r="B267" s="87" t="s">
        <v>237</v>
      </c>
      <c r="C267" s="83">
        <f>VLOOKUP(GroupVertices[[#This Row],[Vertex]],Vertices[],MATCH("ID",Vertices[[#Headers],[Vertex]:[Top Word Pairs in Tags by Salience]],0),FALSE)</f>
        <v>13</v>
      </c>
    </row>
    <row r="268" spans="1:3" ht="15">
      <c r="A268" s="84" t="s">
        <v>2751</v>
      </c>
      <c r="B268" s="87" t="s">
        <v>236</v>
      </c>
      <c r="C268" s="83">
        <f>VLOOKUP(GroupVertices[[#This Row],[Vertex]],Vertices[],MATCH("ID",Vertices[[#Headers],[Vertex]:[Top Word Pairs in Tags by Salience]],0),FALSE)</f>
        <v>12</v>
      </c>
    </row>
    <row r="269" spans="1:3" ht="15">
      <c r="A269" s="84" t="s">
        <v>2751</v>
      </c>
      <c r="B269" s="87" t="s">
        <v>235</v>
      </c>
      <c r="C269" s="83">
        <f>VLOOKUP(GroupVertices[[#This Row],[Vertex]],Vertices[],MATCH("ID",Vertices[[#Headers],[Vertex]:[Top Word Pairs in Tags by Salience]],0),FALSE)</f>
        <v>11</v>
      </c>
    </row>
    <row r="270" spans="1:3" ht="15">
      <c r="A270" s="84" t="s">
        <v>2751</v>
      </c>
      <c r="B270" s="87" t="s">
        <v>234</v>
      </c>
      <c r="C270" s="83">
        <f>VLOOKUP(GroupVertices[[#This Row],[Vertex]],Vertices[],MATCH("ID",Vertices[[#Headers],[Vertex]:[Top Word Pairs in Tags by Salience]],0),FALSE)</f>
        <v>10</v>
      </c>
    </row>
    <row r="271" spans="1:3" ht="15">
      <c r="A271" s="84" t="s">
        <v>2751</v>
      </c>
      <c r="B271" s="87" t="s">
        <v>233</v>
      </c>
      <c r="C271" s="83">
        <f>VLOOKUP(GroupVertices[[#This Row],[Vertex]],Vertices[],MATCH("ID",Vertices[[#Headers],[Vertex]:[Top Word Pairs in Tags by Salience]],0),FALSE)</f>
        <v>9</v>
      </c>
    </row>
    <row r="272" spans="1:3" ht="15">
      <c r="A272" s="84" t="s">
        <v>2751</v>
      </c>
      <c r="B272" s="87" t="s">
        <v>232</v>
      </c>
      <c r="C272" s="83">
        <f>VLOOKUP(GroupVertices[[#This Row],[Vertex]],Vertices[],MATCH("ID",Vertices[[#Headers],[Vertex]:[Top Word Pairs in Tags by Salience]],0),FALSE)</f>
        <v>8</v>
      </c>
    </row>
    <row r="273" spans="1:3" ht="15">
      <c r="A273" s="84" t="s">
        <v>2751</v>
      </c>
      <c r="B273" s="87" t="s">
        <v>231</v>
      </c>
      <c r="C273" s="83">
        <f>VLOOKUP(GroupVertices[[#This Row],[Vertex]],Vertices[],MATCH("ID",Vertices[[#Headers],[Vertex]:[Top Word Pairs in Tags by Salience]],0),FALSE)</f>
        <v>7</v>
      </c>
    </row>
    <row r="274" spans="1:3" ht="15">
      <c r="A274" s="84" t="s">
        <v>2751</v>
      </c>
      <c r="B274" s="87" t="s">
        <v>230</v>
      </c>
      <c r="C274" s="83">
        <f>VLOOKUP(GroupVertices[[#This Row],[Vertex]],Vertices[],MATCH("ID",Vertices[[#Headers],[Vertex]:[Top Word Pairs in Tags by Salience]],0),FALSE)</f>
        <v>6</v>
      </c>
    </row>
    <row r="275" spans="1:3" ht="15">
      <c r="A275" s="84" t="s">
        <v>2751</v>
      </c>
      <c r="B275" s="87" t="s">
        <v>229</v>
      </c>
      <c r="C275" s="83">
        <f>VLOOKUP(GroupVertices[[#This Row],[Vertex]],Vertices[],MATCH("ID",Vertices[[#Headers],[Vertex]:[Top Word Pairs in Tags by Salience]],0),FALSE)</f>
        <v>5</v>
      </c>
    </row>
    <row r="276" spans="1:3" ht="15">
      <c r="A276" s="84" t="s">
        <v>2751</v>
      </c>
      <c r="B276" s="87" t="s">
        <v>652</v>
      </c>
      <c r="C276" s="83">
        <f>VLOOKUP(GroupVertices[[#This Row],[Vertex]],Vertices[],MATCH("ID",Vertices[[#Headers],[Vertex]:[Top Word Pairs in Tags by Salience]],0),FALSE)</f>
        <v>3</v>
      </c>
    </row>
    <row r="277" spans="1:3" ht="15">
      <c r="A277" s="84" t="s">
        <v>2752</v>
      </c>
      <c r="B277" s="87" t="s">
        <v>607</v>
      </c>
      <c r="C277" s="83">
        <f>VLOOKUP(GroupVertices[[#This Row],[Vertex]],Vertices[],MATCH("ID",Vertices[[#Headers],[Vertex]:[Top Word Pairs in Tags by Salience]],0),FALSE)</f>
        <v>404</v>
      </c>
    </row>
    <row r="278" spans="1:3" ht="15">
      <c r="A278" s="84" t="s">
        <v>2752</v>
      </c>
      <c r="B278" s="87" t="s">
        <v>608</v>
      </c>
      <c r="C278" s="83">
        <f>VLOOKUP(GroupVertices[[#This Row],[Vertex]],Vertices[],MATCH("ID",Vertices[[#Headers],[Vertex]:[Top Word Pairs in Tags by Salience]],0),FALSE)</f>
        <v>405</v>
      </c>
    </row>
    <row r="279" spans="1:3" ht="15">
      <c r="A279" s="84" t="s">
        <v>2752</v>
      </c>
      <c r="B279" s="87" t="s">
        <v>610</v>
      </c>
      <c r="C279" s="83">
        <f>VLOOKUP(GroupVertices[[#This Row],[Vertex]],Vertices[],MATCH("ID",Vertices[[#Headers],[Vertex]:[Top Word Pairs in Tags by Salience]],0),FALSE)</f>
        <v>406</v>
      </c>
    </row>
    <row r="280" spans="1:3" ht="15">
      <c r="A280" s="84" t="s">
        <v>2752</v>
      </c>
      <c r="B280" s="87" t="s">
        <v>611</v>
      </c>
      <c r="C280" s="83">
        <f>VLOOKUP(GroupVertices[[#This Row],[Vertex]],Vertices[],MATCH("ID",Vertices[[#Headers],[Vertex]:[Top Word Pairs in Tags by Salience]],0),FALSE)</f>
        <v>407</v>
      </c>
    </row>
    <row r="281" spans="1:3" ht="15">
      <c r="A281" s="84" t="s">
        <v>2752</v>
      </c>
      <c r="B281" s="87" t="s">
        <v>612</v>
      </c>
      <c r="C281" s="83">
        <f>VLOOKUP(GroupVertices[[#This Row],[Vertex]],Vertices[],MATCH("ID",Vertices[[#Headers],[Vertex]:[Top Word Pairs in Tags by Salience]],0),FALSE)</f>
        <v>408</v>
      </c>
    </row>
    <row r="282" spans="1:3" ht="15">
      <c r="A282" s="84" t="s">
        <v>2752</v>
      </c>
      <c r="B282" s="87" t="s">
        <v>613</v>
      </c>
      <c r="C282" s="83">
        <f>VLOOKUP(GroupVertices[[#This Row],[Vertex]],Vertices[],MATCH("ID",Vertices[[#Headers],[Vertex]:[Top Word Pairs in Tags by Salience]],0),FALSE)</f>
        <v>409</v>
      </c>
    </row>
    <row r="283" spans="1:3" ht="15">
      <c r="A283" s="84" t="s">
        <v>2752</v>
      </c>
      <c r="B283" s="87" t="s">
        <v>615</v>
      </c>
      <c r="C283" s="83">
        <f>VLOOKUP(GroupVertices[[#This Row],[Vertex]],Vertices[],MATCH("ID",Vertices[[#Headers],[Vertex]:[Top Word Pairs in Tags by Salience]],0),FALSE)</f>
        <v>410</v>
      </c>
    </row>
    <row r="284" spans="1:3" ht="15">
      <c r="A284" s="84" t="s">
        <v>2752</v>
      </c>
      <c r="B284" s="87" t="s">
        <v>616</v>
      </c>
      <c r="C284" s="83">
        <f>VLOOKUP(GroupVertices[[#This Row],[Vertex]],Vertices[],MATCH("ID",Vertices[[#Headers],[Vertex]:[Top Word Pairs in Tags by Salience]],0),FALSE)</f>
        <v>411</v>
      </c>
    </row>
    <row r="285" spans="1:3" ht="15">
      <c r="A285" s="84" t="s">
        <v>2752</v>
      </c>
      <c r="B285" s="87" t="s">
        <v>617</v>
      </c>
      <c r="C285" s="83">
        <f>VLOOKUP(GroupVertices[[#This Row],[Vertex]],Vertices[],MATCH("ID",Vertices[[#Headers],[Vertex]:[Top Word Pairs in Tags by Salience]],0),FALSE)</f>
        <v>412</v>
      </c>
    </row>
    <row r="286" spans="1:3" ht="15">
      <c r="A286" s="84" t="s">
        <v>2752</v>
      </c>
      <c r="B286" s="87" t="s">
        <v>618</v>
      </c>
      <c r="C286" s="83">
        <f>VLOOKUP(GroupVertices[[#This Row],[Vertex]],Vertices[],MATCH("ID",Vertices[[#Headers],[Vertex]:[Top Word Pairs in Tags by Salience]],0),FALSE)</f>
        <v>413</v>
      </c>
    </row>
    <row r="287" spans="1:3" ht="15">
      <c r="A287" s="84" t="s">
        <v>2752</v>
      </c>
      <c r="B287" s="87" t="s">
        <v>620</v>
      </c>
      <c r="C287" s="83">
        <f>VLOOKUP(GroupVertices[[#This Row],[Vertex]],Vertices[],MATCH("ID",Vertices[[#Headers],[Vertex]:[Top Word Pairs in Tags by Salience]],0),FALSE)</f>
        <v>414</v>
      </c>
    </row>
    <row r="288" spans="1:3" ht="15">
      <c r="A288" s="84" t="s">
        <v>2752</v>
      </c>
      <c r="B288" s="87" t="s">
        <v>621</v>
      </c>
      <c r="C288" s="83">
        <f>VLOOKUP(GroupVertices[[#This Row],[Vertex]],Vertices[],MATCH("ID",Vertices[[#Headers],[Vertex]:[Top Word Pairs in Tags by Salience]],0),FALSE)</f>
        <v>415</v>
      </c>
    </row>
    <row r="289" spans="1:3" ht="15">
      <c r="A289" s="84" t="s">
        <v>2752</v>
      </c>
      <c r="B289" s="87" t="s">
        <v>623</v>
      </c>
      <c r="C289" s="83">
        <f>VLOOKUP(GroupVertices[[#This Row],[Vertex]],Vertices[],MATCH("ID",Vertices[[#Headers],[Vertex]:[Top Word Pairs in Tags by Salience]],0),FALSE)</f>
        <v>416</v>
      </c>
    </row>
    <row r="290" spans="1:3" ht="15">
      <c r="A290" s="84" t="s">
        <v>2752</v>
      </c>
      <c r="B290" s="87" t="s">
        <v>624</v>
      </c>
      <c r="C290" s="83">
        <f>VLOOKUP(GroupVertices[[#This Row],[Vertex]],Vertices[],MATCH("ID",Vertices[[#Headers],[Vertex]:[Top Word Pairs in Tags by Salience]],0),FALSE)</f>
        <v>417</v>
      </c>
    </row>
    <row r="291" spans="1:3" ht="15">
      <c r="A291" s="84" t="s">
        <v>2752</v>
      </c>
      <c r="B291" s="87" t="s">
        <v>626</v>
      </c>
      <c r="C291" s="83">
        <f>VLOOKUP(GroupVertices[[#This Row],[Vertex]],Vertices[],MATCH("ID",Vertices[[#Headers],[Vertex]:[Top Word Pairs in Tags by Salience]],0),FALSE)</f>
        <v>418</v>
      </c>
    </row>
    <row r="292" spans="1:3" ht="15">
      <c r="A292" s="84" t="s">
        <v>2752</v>
      </c>
      <c r="B292" s="87" t="s">
        <v>627</v>
      </c>
      <c r="C292" s="83">
        <f>VLOOKUP(GroupVertices[[#This Row],[Vertex]],Vertices[],MATCH("ID",Vertices[[#Headers],[Vertex]:[Top Word Pairs in Tags by Salience]],0),FALSE)</f>
        <v>419</v>
      </c>
    </row>
    <row r="293" spans="1:3" ht="15">
      <c r="A293" s="84" t="s">
        <v>2752</v>
      </c>
      <c r="B293" s="87" t="s">
        <v>632</v>
      </c>
      <c r="C293" s="83">
        <f>VLOOKUP(GroupVertices[[#This Row],[Vertex]],Vertices[],MATCH("ID",Vertices[[#Headers],[Vertex]:[Top Word Pairs in Tags by Salience]],0),FALSE)</f>
        <v>420</v>
      </c>
    </row>
    <row r="294" spans="1:3" ht="15">
      <c r="A294" s="84" t="s">
        <v>2752</v>
      </c>
      <c r="B294" s="87" t="s">
        <v>635</v>
      </c>
      <c r="C294" s="83">
        <f>VLOOKUP(GroupVertices[[#This Row],[Vertex]],Vertices[],MATCH("ID",Vertices[[#Headers],[Vertex]:[Top Word Pairs in Tags by Salience]],0),FALSE)</f>
        <v>421</v>
      </c>
    </row>
    <row r="295" spans="1:3" ht="15">
      <c r="A295" s="84" t="s">
        <v>2752</v>
      </c>
      <c r="B295" s="87" t="s">
        <v>636</v>
      </c>
      <c r="C295" s="83">
        <f>VLOOKUP(GroupVertices[[#This Row],[Vertex]],Vertices[],MATCH("ID",Vertices[[#Headers],[Vertex]:[Top Word Pairs in Tags by Salience]],0),FALSE)</f>
        <v>422</v>
      </c>
    </row>
    <row r="296" spans="1:3" ht="15">
      <c r="A296" s="84" t="s">
        <v>2752</v>
      </c>
      <c r="B296" s="87" t="s">
        <v>640</v>
      </c>
      <c r="C296" s="83">
        <f>VLOOKUP(GroupVertices[[#This Row],[Vertex]],Vertices[],MATCH("ID",Vertices[[#Headers],[Vertex]:[Top Word Pairs in Tags by Salience]],0),FALSE)</f>
        <v>423</v>
      </c>
    </row>
    <row r="297" spans="1:3" ht="15">
      <c r="A297" s="84" t="s">
        <v>2752</v>
      </c>
      <c r="B297" s="87" t="s">
        <v>643</v>
      </c>
      <c r="C297" s="83">
        <f>VLOOKUP(GroupVertices[[#This Row],[Vertex]],Vertices[],MATCH("ID",Vertices[[#Headers],[Vertex]:[Top Word Pairs in Tags by Salience]],0),FALSE)</f>
        <v>424</v>
      </c>
    </row>
    <row r="298" spans="1:3" ht="15">
      <c r="A298" s="84" t="s">
        <v>2752</v>
      </c>
      <c r="B298" s="87" t="s">
        <v>648</v>
      </c>
      <c r="C298" s="83">
        <f>VLOOKUP(GroupVertices[[#This Row],[Vertex]],Vertices[],MATCH("ID",Vertices[[#Headers],[Vertex]:[Top Word Pairs in Tags by Salience]],0),FALSE)</f>
        <v>426</v>
      </c>
    </row>
    <row r="299" spans="1:3" ht="15">
      <c r="A299" s="84" t="s">
        <v>2753</v>
      </c>
      <c r="B299" s="87" t="s">
        <v>550</v>
      </c>
      <c r="C299" s="83">
        <f>VLOOKUP(GroupVertices[[#This Row],[Vertex]],Vertices[],MATCH("ID",Vertices[[#Headers],[Vertex]:[Top Word Pairs in Tags by Salience]],0),FALSE)</f>
        <v>348</v>
      </c>
    </row>
    <row r="300" spans="1:3" ht="15">
      <c r="A300" s="84" t="s">
        <v>2753</v>
      </c>
      <c r="B300" s="87" t="s">
        <v>649</v>
      </c>
      <c r="C300" s="83">
        <f>VLOOKUP(GroupVertices[[#This Row],[Vertex]],Vertices[],MATCH("ID",Vertices[[#Headers],[Vertex]:[Top Word Pairs in Tags by Salience]],0),FALSE)</f>
        <v>196</v>
      </c>
    </row>
    <row r="301" spans="1:3" ht="15">
      <c r="A301" s="84" t="s">
        <v>2753</v>
      </c>
      <c r="B301" s="87" t="s">
        <v>419</v>
      </c>
      <c r="C301" s="83">
        <f>VLOOKUP(GroupVertices[[#This Row],[Vertex]],Vertices[],MATCH("ID",Vertices[[#Headers],[Vertex]:[Top Word Pairs in Tags by Salience]],0),FALSE)</f>
        <v>214</v>
      </c>
    </row>
    <row r="302" spans="1:3" ht="15">
      <c r="A302" s="84" t="s">
        <v>2753</v>
      </c>
      <c r="B302" s="87" t="s">
        <v>418</v>
      </c>
      <c r="C302" s="83">
        <f>VLOOKUP(GroupVertices[[#This Row],[Vertex]],Vertices[],MATCH("ID",Vertices[[#Headers],[Vertex]:[Top Word Pairs in Tags by Salience]],0),FALSE)</f>
        <v>213</v>
      </c>
    </row>
    <row r="303" spans="1:3" ht="15">
      <c r="A303" s="84" t="s">
        <v>2753</v>
      </c>
      <c r="B303" s="87" t="s">
        <v>417</v>
      </c>
      <c r="C303" s="83">
        <f>VLOOKUP(GroupVertices[[#This Row],[Vertex]],Vertices[],MATCH("ID",Vertices[[#Headers],[Vertex]:[Top Word Pairs in Tags by Salience]],0),FALSE)</f>
        <v>212</v>
      </c>
    </row>
    <row r="304" spans="1:3" ht="15">
      <c r="A304" s="84" t="s">
        <v>2753</v>
      </c>
      <c r="B304" s="87" t="s">
        <v>416</v>
      </c>
      <c r="C304" s="83">
        <f>VLOOKUP(GroupVertices[[#This Row],[Vertex]],Vertices[],MATCH("ID",Vertices[[#Headers],[Vertex]:[Top Word Pairs in Tags by Salience]],0),FALSE)</f>
        <v>211</v>
      </c>
    </row>
    <row r="305" spans="1:3" ht="15">
      <c r="A305" s="84" t="s">
        <v>2753</v>
      </c>
      <c r="B305" s="87" t="s">
        <v>415</v>
      </c>
      <c r="C305" s="83">
        <f>VLOOKUP(GroupVertices[[#This Row],[Vertex]],Vertices[],MATCH("ID",Vertices[[#Headers],[Vertex]:[Top Word Pairs in Tags by Salience]],0),FALSE)</f>
        <v>210</v>
      </c>
    </row>
    <row r="306" spans="1:3" ht="15">
      <c r="A306" s="84" t="s">
        <v>2753</v>
      </c>
      <c r="B306" s="87" t="s">
        <v>414</v>
      </c>
      <c r="C306" s="83">
        <f>VLOOKUP(GroupVertices[[#This Row],[Vertex]],Vertices[],MATCH("ID",Vertices[[#Headers],[Vertex]:[Top Word Pairs in Tags by Salience]],0),FALSE)</f>
        <v>209</v>
      </c>
    </row>
    <row r="307" spans="1:3" ht="15">
      <c r="A307" s="84" t="s">
        <v>2753</v>
      </c>
      <c r="B307" s="87" t="s">
        <v>413</v>
      </c>
      <c r="C307" s="83">
        <f>VLOOKUP(GroupVertices[[#This Row],[Vertex]],Vertices[],MATCH("ID",Vertices[[#Headers],[Vertex]:[Top Word Pairs in Tags by Salience]],0),FALSE)</f>
        <v>208</v>
      </c>
    </row>
    <row r="308" spans="1:3" ht="15">
      <c r="A308" s="84" t="s">
        <v>2753</v>
      </c>
      <c r="B308" s="87" t="s">
        <v>412</v>
      </c>
      <c r="C308" s="83">
        <f>VLOOKUP(GroupVertices[[#This Row],[Vertex]],Vertices[],MATCH("ID",Vertices[[#Headers],[Vertex]:[Top Word Pairs in Tags by Salience]],0),FALSE)</f>
        <v>207</v>
      </c>
    </row>
    <row r="309" spans="1:3" ht="15">
      <c r="A309" s="84" t="s">
        <v>2753</v>
      </c>
      <c r="B309" s="87" t="s">
        <v>411</v>
      </c>
      <c r="C309" s="83">
        <f>VLOOKUP(GroupVertices[[#This Row],[Vertex]],Vertices[],MATCH("ID",Vertices[[#Headers],[Vertex]:[Top Word Pairs in Tags by Salience]],0),FALSE)</f>
        <v>206</v>
      </c>
    </row>
    <row r="310" spans="1:3" ht="15">
      <c r="A310" s="84" t="s">
        <v>2753</v>
      </c>
      <c r="B310" s="87" t="s">
        <v>410</v>
      </c>
      <c r="C310" s="83">
        <f>VLOOKUP(GroupVertices[[#This Row],[Vertex]],Vertices[],MATCH("ID",Vertices[[#Headers],[Vertex]:[Top Word Pairs in Tags by Salience]],0),FALSE)</f>
        <v>205</v>
      </c>
    </row>
    <row r="311" spans="1:3" ht="15">
      <c r="A311" s="84" t="s">
        <v>2753</v>
      </c>
      <c r="B311" s="87" t="s">
        <v>409</v>
      </c>
      <c r="C311" s="83">
        <f>VLOOKUP(GroupVertices[[#This Row],[Vertex]],Vertices[],MATCH("ID",Vertices[[#Headers],[Vertex]:[Top Word Pairs in Tags by Salience]],0),FALSE)</f>
        <v>204</v>
      </c>
    </row>
    <row r="312" spans="1:3" ht="15">
      <c r="A312" s="84" t="s">
        <v>2753</v>
      </c>
      <c r="B312" s="87" t="s">
        <v>408</v>
      </c>
      <c r="C312" s="83">
        <f>VLOOKUP(GroupVertices[[#This Row],[Vertex]],Vertices[],MATCH("ID",Vertices[[#Headers],[Vertex]:[Top Word Pairs in Tags by Salience]],0),FALSE)</f>
        <v>203</v>
      </c>
    </row>
    <row r="313" spans="1:3" ht="15">
      <c r="A313" s="84" t="s">
        <v>2753</v>
      </c>
      <c r="B313" s="87" t="s">
        <v>407</v>
      </c>
      <c r="C313" s="83">
        <f>VLOOKUP(GroupVertices[[#This Row],[Vertex]],Vertices[],MATCH("ID",Vertices[[#Headers],[Vertex]:[Top Word Pairs in Tags by Salience]],0),FALSE)</f>
        <v>202</v>
      </c>
    </row>
    <row r="314" spans="1:3" ht="15">
      <c r="A314" s="84" t="s">
        <v>2753</v>
      </c>
      <c r="B314" s="87" t="s">
        <v>406</v>
      </c>
      <c r="C314" s="83">
        <f>VLOOKUP(GroupVertices[[#This Row],[Vertex]],Vertices[],MATCH("ID",Vertices[[#Headers],[Vertex]:[Top Word Pairs in Tags by Salience]],0),FALSE)</f>
        <v>201</v>
      </c>
    </row>
    <row r="315" spans="1:3" ht="15">
      <c r="A315" s="84" t="s">
        <v>2753</v>
      </c>
      <c r="B315" s="87" t="s">
        <v>405</v>
      </c>
      <c r="C315" s="83">
        <f>VLOOKUP(GroupVertices[[#This Row],[Vertex]],Vertices[],MATCH("ID",Vertices[[#Headers],[Vertex]:[Top Word Pairs in Tags by Salience]],0),FALSE)</f>
        <v>200</v>
      </c>
    </row>
    <row r="316" spans="1:3" ht="15">
      <c r="A316" s="84" t="s">
        <v>2753</v>
      </c>
      <c r="B316" s="87" t="s">
        <v>404</v>
      </c>
      <c r="C316" s="83">
        <f>VLOOKUP(GroupVertices[[#This Row],[Vertex]],Vertices[],MATCH("ID",Vertices[[#Headers],[Vertex]:[Top Word Pairs in Tags by Salience]],0),FALSE)</f>
        <v>199</v>
      </c>
    </row>
    <row r="317" spans="1:3" ht="15">
      <c r="A317" s="84" t="s">
        <v>2753</v>
      </c>
      <c r="B317" s="87" t="s">
        <v>403</v>
      </c>
      <c r="C317" s="83">
        <f>VLOOKUP(GroupVertices[[#This Row],[Vertex]],Vertices[],MATCH("ID",Vertices[[#Headers],[Vertex]:[Top Word Pairs in Tags by Salience]],0),FALSE)</f>
        <v>198</v>
      </c>
    </row>
    <row r="318" spans="1:3" ht="15">
      <c r="A318" s="84" t="s">
        <v>2753</v>
      </c>
      <c r="B318" s="87" t="s">
        <v>402</v>
      </c>
      <c r="C318" s="83">
        <f>VLOOKUP(GroupVertices[[#This Row],[Vertex]],Vertices[],MATCH("ID",Vertices[[#Headers],[Vertex]:[Top Word Pairs in Tags by Salience]],0),FALSE)</f>
        <v>197</v>
      </c>
    </row>
    <row r="319" spans="1:3" ht="15">
      <c r="A319" s="84" t="s">
        <v>2753</v>
      </c>
      <c r="B319" s="87" t="s">
        <v>401</v>
      </c>
      <c r="C319" s="83">
        <f>VLOOKUP(GroupVertices[[#This Row],[Vertex]],Vertices[],MATCH("ID",Vertices[[#Headers],[Vertex]:[Top Word Pairs in Tags by Salience]],0),FALSE)</f>
        <v>195</v>
      </c>
    </row>
    <row r="320" spans="1:3" ht="15">
      <c r="A320" s="84" t="s">
        <v>2754</v>
      </c>
      <c r="B320" s="87" t="s">
        <v>400</v>
      </c>
      <c r="C320" s="83">
        <f>VLOOKUP(GroupVertices[[#This Row],[Vertex]],Vertices[],MATCH("ID",Vertices[[#Headers],[Vertex]:[Top Word Pairs in Tags by Salience]],0),FALSE)</f>
        <v>194</v>
      </c>
    </row>
    <row r="321" spans="1:3" ht="15">
      <c r="A321" s="84" t="s">
        <v>2754</v>
      </c>
      <c r="B321" s="87" t="s">
        <v>647</v>
      </c>
      <c r="C321" s="83">
        <f>VLOOKUP(GroupVertices[[#This Row],[Vertex]],Vertices[],MATCH("ID",Vertices[[#Headers],[Vertex]:[Top Word Pairs in Tags by Salience]],0),FALSE)</f>
        <v>179</v>
      </c>
    </row>
    <row r="322" spans="1:3" ht="15">
      <c r="A322" s="84" t="s">
        <v>2754</v>
      </c>
      <c r="B322" s="87" t="s">
        <v>399</v>
      </c>
      <c r="C322" s="83">
        <f>VLOOKUP(GroupVertices[[#This Row],[Vertex]],Vertices[],MATCH("ID",Vertices[[#Headers],[Vertex]:[Top Word Pairs in Tags by Salience]],0),FALSE)</f>
        <v>193</v>
      </c>
    </row>
    <row r="323" spans="1:3" ht="15">
      <c r="A323" s="84" t="s">
        <v>2754</v>
      </c>
      <c r="B323" s="87" t="s">
        <v>398</v>
      </c>
      <c r="C323" s="83">
        <f>VLOOKUP(GroupVertices[[#This Row],[Vertex]],Vertices[],MATCH("ID",Vertices[[#Headers],[Vertex]:[Top Word Pairs in Tags by Salience]],0),FALSE)</f>
        <v>192</v>
      </c>
    </row>
    <row r="324" spans="1:3" ht="15">
      <c r="A324" s="84" t="s">
        <v>2754</v>
      </c>
      <c r="B324" s="87" t="s">
        <v>397</v>
      </c>
      <c r="C324" s="83">
        <f>VLOOKUP(GroupVertices[[#This Row],[Vertex]],Vertices[],MATCH("ID",Vertices[[#Headers],[Vertex]:[Top Word Pairs in Tags by Salience]],0),FALSE)</f>
        <v>191</v>
      </c>
    </row>
    <row r="325" spans="1:3" ht="15">
      <c r="A325" s="84" t="s">
        <v>2754</v>
      </c>
      <c r="B325" s="87" t="s">
        <v>396</v>
      </c>
      <c r="C325" s="83">
        <f>VLOOKUP(GroupVertices[[#This Row],[Vertex]],Vertices[],MATCH("ID",Vertices[[#Headers],[Vertex]:[Top Word Pairs in Tags by Salience]],0),FALSE)</f>
        <v>190</v>
      </c>
    </row>
    <row r="326" spans="1:3" ht="15">
      <c r="A326" s="84" t="s">
        <v>2754</v>
      </c>
      <c r="B326" s="87" t="s">
        <v>395</v>
      </c>
      <c r="C326" s="83">
        <f>VLOOKUP(GroupVertices[[#This Row],[Vertex]],Vertices[],MATCH("ID",Vertices[[#Headers],[Vertex]:[Top Word Pairs in Tags by Salience]],0),FALSE)</f>
        <v>189</v>
      </c>
    </row>
    <row r="327" spans="1:3" ht="15">
      <c r="A327" s="84" t="s">
        <v>2754</v>
      </c>
      <c r="B327" s="87" t="s">
        <v>394</v>
      </c>
      <c r="C327" s="83">
        <f>VLOOKUP(GroupVertices[[#This Row],[Vertex]],Vertices[],MATCH("ID",Vertices[[#Headers],[Vertex]:[Top Word Pairs in Tags by Salience]],0),FALSE)</f>
        <v>188</v>
      </c>
    </row>
    <row r="328" spans="1:3" ht="15">
      <c r="A328" s="84" t="s">
        <v>2754</v>
      </c>
      <c r="B328" s="87" t="s">
        <v>393</v>
      </c>
      <c r="C328" s="83">
        <f>VLOOKUP(GroupVertices[[#This Row],[Vertex]],Vertices[],MATCH("ID",Vertices[[#Headers],[Vertex]:[Top Word Pairs in Tags by Salience]],0),FALSE)</f>
        <v>187</v>
      </c>
    </row>
    <row r="329" spans="1:3" ht="15">
      <c r="A329" s="84" t="s">
        <v>2754</v>
      </c>
      <c r="B329" s="87" t="s">
        <v>392</v>
      </c>
      <c r="C329" s="83">
        <f>VLOOKUP(GroupVertices[[#This Row],[Vertex]],Vertices[],MATCH("ID",Vertices[[#Headers],[Vertex]:[Top Word Pairs in Tags by Salience]],0),FALSE)</f>
        <v>186</v>
      </c>
    </row>
    <row r="330" spans="1:3" ht="15">
      <c r="A330" s="84" t="s">
        <v>2754</v>
      </c>
      <c r="B330" s="87" t="s">
        <v>391</v>
      </c>
      <c r="C330" s="83">
        <f>VLOOKUP(GroupVertices[[#This Row],[Vertex]],Vertices[],MATCH("ID",Vertices[[#Headers],[Vertex]:[Top Word Pairs in Tags by Salience]],0),FALSE)</f>
        <v>185</v>
      </c>
    </row>
    <row r="331" spans="1:3" ht="15">
      <c r="A331" s="84" t="s">
        <v>2754</v>
      </c>
      <c r="B331" s="87" t="s">
        <v>390</v>
      </c>
      <c r="C331" s="83">
        <f>VLOOKUP(GroupVertices[[#This Row],[Vertex]],Vertices[],MATCH("ID",Vertices[[#Headers],[Vertex]:[Top Word Pairs in Tags by Salience]],0),FALSE)</f>
        <v>184</v>
      </c>
    </row>
    <row r="332" spans="1:3" ht="15">
      <c r="A332" s="84" t="s">
        <v>2754</v>
      </c>
      <c r="B332" s="87" t="s">
        <v>389</v>
      </c>
      <c r="C332" s="83">
        <f>VLOOKUP(GroupVertices[[#This Row],[Vertex]],Vertices[],MATCH("ID",Vertices[[#Headers],[Vertex]:[Top Word Pairs in Tags by Salience]],0),FALSE)</f>
        <v>183</v>
      </c>
    </row>
    <row r="333" spans="1:3" ht="15">
      <c r="A333" s="84" t="s">
        <v>2754</v>
      </c>
      <c r="B333" s="87" t="s">
        <v>388</v>
      </c>
      <c r="C333" s="83">
        <f>VLOOKUP(GroupVertices[[#This Row],[Vertex]],Vertices[],MATCH("ID",Vertices[[#Headers],[Vertex]:[Top Word Pairs in Tags by Salience]],0),FALSE)</f>
        <v>182</v>
      </c>
    </row>
    <row r="334" spans="1:3" ht="15">
      <c r="A334" s="84" t="s">
        <v>2754</v>
      </c>
      <c r="B334" s="87" t="s">
        <v>387</v>
      </c>
      <c r="C334" s="83">
        <f>VLOOKUP(GroupVertices[[#This Row],[Vertex]],Vertices[],MATCH("ID",Vertices[[#Headers],[Vertex]:[Top Word Pairs in Tags by Salience]],0),FALSE)</f>
        <v>181</v>
      </c>
    </row>
    <row r="335" spans="1:3" ht="15">
      <c r="A335" s="84" t="s">
        <v>2754</v>
      </c>
      <c r="B335" s="87" t="s">
        <v>386</v>
      </c>
      <c r="C335" s="83">
        <f>VLOOKUP(GroupVertices[[#This Row],[Vertex]],Vertices[],MATCH("ID",Vertices[[#Headers],[Vertex]:[Top Word Pairs in Tags by Salience]],0),FALSE)</f>
        <v>180</v>
      </c>
    </row>
    <row r="336" spans="1:3" ht="15">
      <c r="A336" s="84" t="s">
        <v>2754</v>
      </c>
      <c r="B336" s="87" t="s">
        <v>385</v>
      </c>
      <c r="C336" s="83">
        <f>VLOOKUP(GroupVertices[[#This Row],[Vertex]],Vertices[],MATCH("ID",Vertices[[#Headers],[Vertex]:[Top Word Pairs in Tags by Salience]],0),FALSE)</f>
        <v>178</v>
      </c>
    </row>
    <row r="337" spans="1:3" ht="15">
      <c r="A337" s="84" t="s">
        <v>2755</v>
      </c>
      <c r="B337" s="87" t="s">
        <v>646</v>
      </c>
      <c r="C337" s="83">
        <f>VLOOKUP(GroupVertices[[#This Row],[Vertex]],Vertices[],MATCH("ID",Vertices[[#Headers],[Vertex]:[Top Word Pairs in Tags by Salience]],0),FALSE)</f>
        <v>425</v>
      </c>
    </row>
    <row r="338" spans="1:3" ht="15">
      <c r="A338" s="84" t="s">
        <v>2755</v>
      </c>
      <c r="B338" s="87" t="s">
        <v>628</v>
      </c>
      <c r="C338" s="83">
        <f>VLOOKUP(GroupVertices[[#This Row],[Vertex]],Vertices[],MATCH("ID",Vertices[[#Headers],[Vertex]:[Top Word Pairs in Tags by Salience]],0),FALSE)</f>
        <v>216</v>
      </c>
    </row>
    <row r="339" spans="1:3" ht="15">
      <c r="A339" s="84" t="s">
        <v>2755</v>
      </c>
      <c r="B339" s="87" t="s">
        <v>424</v>
      </c>
      <c r="C339" s="83">
        <f>VLOOKUP(GroupVertices[[#This Row],[Vertex]],Vertices[],MATCH("ID",Vertices[[#Headers],[Vertex]:[Top Word Pairs in Tags by Salience]],0),FALSE)</f>
        <v>220</v>
      </c>
    </row>
    <row r="340" spans="1:3" ht="15">
      <c r="A340" s="84" t="s">
        <v>2755</v>
      </c>
      <c r="B340" s="87" t="s">
        <v>423</v>
      </c>
      <c r="C340" s="83">
        <f>VLOOKUP(GroupVertices[[#This Row],[Vertex]],Vertices[],MATCH("ID",Vertices[[#Headers],[Vertex]:[Top Word Pairs in Tags by Salience]],0),FALSE)</f>
        <v>219</v>
      </c>
    </row>
    <row r="341" spans="1:3" ht="15">
      <c r="A341" s="84" t="s">
        <v>2755</v>
      </c>
      <c r="B341" s="87" t="s">
        <v>422</v>
      </c>
      <c r="C341" s="83">
        <f>VLOOKUP(GroupVertices[[#This Row],[Vertex]],Vertices[],MATCH("ID",Vertices[[#Headers],[Vertex]:[Top Word Pairs in Tags by Salience]],0),FALSE)</f>
        <v>218</v>
      </c>
    </row>
    <row r="342" spans="1:3" ht="15">
      <c r="A342" s="84" t="s">
        <v>2755</v>
      </c>
      <c r="B342" s="87" t="s">
        <v>421</v>
      </c>
      <c r="C342" s="83">
        <f>VLOOKUP(GroupVertices[[#This Row],[Vertex]],Vertices[],MATCH("ID",Vertices[[#Headers],[Vertex]:[Top Word Pairs in Tags by Salience]],0),FALSE)</f>
        <v>217</v>
      </c>
    </row>
    <row r="343" spans="1:3" ht="15">
      <c r="A343" s="84" t="s">
        <v>2755</v>
      </c>
      <c r="B343" s="87" t="s">
        <v>629</v>
      </c>
      <c r="C343" s="83">
        <f>VLOOKUP(GroupVertices[[#This Row],[Vertex]],Vertices[],MATCH("ID",Vertices[[#Headers],[Vertex]:[Top Word Pairs in Tags by Salience]],0),FALSE)</f>
        <v>98</v>
      </c>
    </row>
    <row r="344" spans="1:3" ht="15">
      <c r="A344" s="84" t="s">
        <v>2755</v>
      </c>
      <c r="B344" s="87" t="s">
        <v>420</v>
      </c>
      <c r="C344" s="83">
        <f>VLOOKUP(GroupVertices[[#This Row],[Vertex]],Vertices[],MATCH("ID",Vertices[[#Headers],[Vertex]:[Top Word Pairs in Tags by Salience]],0),FALSE)</f>
        <v>215</v>
      </c>
    </row>
    <row r="345" spans="1:3" ht="15">
      <c r="A345" s="84" t="s">
        <v>2755</v>
      </c>
      <c r="B345" s="87" t="s">
        <v>319</v>
      </c>
      <c r="C345" s="83">
        <f>VLOOKUP(GroupVertices[[#This Row],[Vertex]],Vertices[],MATCH("ID",Vertices[[#Headers],[Vertex]:[Top Word Pairs in Tags by Salience]],0),FALSE)</f>
        <v>104</v>
      </c>
    </row>
    <row r="346" spans="1:3" ht="15">
      <c r="A346" s="84" t="s">
        <v>2755</v>
      </c>
      <c r="B346" s="87" t="s">
        <v>318</v>
      </c>
      <c r="C346" s="83">
        <f>VLOOKUP(GroupVertices[[#This Row],[Vertex]],Vertices[],MATCH("ID",Vertices[[#Headers],[Vertex]:[Top Word Pairs in Tags by Salience]],0),FALSE)</f>
        <v>103</v>
      </c>
    </row>
    <row r="347" spans="1:3" ht="15">
      <c r="A347" s="84" t="s">
        <v>2755</v>
      </c>
      <c r="B347" s="87" t="s">
        <v>317</v>
      </c>
      <c r="C347" s="83">
        <f>VLOOKUP(GroupVertices[[#This Row],[Vertex]],Vertices[],MATCH("ID",Vertices[[#Headers],[Vertex]:[Top Word Pairs in Tags by Salience]],0),FALSE)</f>
        <v>102</v>
      </c>
    </row>
    <row r="348" spans="1:3" ht="15">
      <c r="A348" s="84" t="s">
        <v>2755</v>
      </c>
      <c r="B348" s="87" t="s">
        <v>316</v>
      </c>
      <c r="C348" s="83">
        <f>VLOOKUP(GroupVertices[[#This Row],[Vertex]],Vertices[],MATCH("ID",Vertices[[#Headers],[Vertex]:[Top Word Pairs in Tags by Salience]],0),FALSE)</f>
        <v>101</v>
      </c>
    </row>
    <row r="349" spans="1:3" ht="15">
      <c r="A349" s="84" t="s">
        <v>2755</v>
      </c>
      <c r="B349" s="87" t="s">
        <v>315</v>
      </c>
      <c r="C349" s="83">
        <f>VLOOKUP(GroupVertices[[#This Row],[Vertex]],Vertices[],MATCH("ID",Vertices[[#Headers],[Vertex]:[Top Word Pairs in Tags by Salience]],0),FALSE)</f>
        <v>100</v>
      </c>
    </row>
    <row r="350" spans="1:3" ht="15">
      <c r="A350" s="84" t="s">
        <v>2755</v>
      </c>
      <c r="B350" s="87" t="s">
        <v>314</v>
      </c>
      <c r="C350" s="83">
        <f>VLOOKUP(GroupVertices[[#This Row],[Vertex]],Vertices[],MATCH("ID",Vertices[[#Headers],[Vertex]:[Top Word Pairs in Tags by Salience]],0),FALSE)</f>
        <v>99</v>
      </c>
    </row>
    <row r="351" spans="1:3" ht="15">
      <c r="A351" s="84" t="s">
        <v>2755</v>
      </c>
      <c r="B351" s="87" t="s">
        <v>313</v>
      </c>
      <c r="C351" s="83">
        <f>VLOOKUP(GroupVertices[[#This Row],[Vertex]],Vertices[],MATCH("ID",Vertices[[#Headers],[Vertex]:[Top Word Pairs in Tags by Salience]],0),FALSE)</f>
        <v>97</v>
      </c>
    </row>
    <row r="352" spans="1:3" ht="15">
      <c r="A352" s="84" t="s">
        <v>2756</v>
      </c>
      <c r="B352" s="87" t="s">
        <v>342</v>
      </c>
      <c r="C352" s="83">
        <f>VLOOKUP(GroupVertices[[#This Row],[Vertex]],Vertices[],MATCH("ID",Vertices[[#Headers],[Vertex]:[Top Word Pairs in Tags by Salience]],0),FALSE)</f>
        <v>132</v>
      </c>
    </row>
    <row r="353" spans="1:3" ht="15">
      <c r="A353" s="84" t="s">
        <v>2756</v>
      </c>
      <c r="B353" s="87" t="s">
        <v>637</v>
      </c>
      <c r="C353" s="83">
        <f>VLOOKUP(GroupVertices[[#This Row],[Vertex]],Vertices[],MATCH("ID",Vertices[[#Headers],[Vertex]:[Top Word Pairs in Tags by Salience]],0),FALSE)</f>
        <v>131</v>
      </c>
    </row>
    <row r="354" spans="1:3" ht="15">
      <c r="A354" s="84" t="s">
        <v>2756</v>
      </c>
      <c r="B354" s="87" t="s">
        <v>622</v>
      </c>
      <c r="C354" s="83">
        <f>VLOOKUP(GroupVertices[[#This Row],[Vertex]],Vertices[],MATCH("ID",Vertices[[#Headers],[Vertex]:[Top Word Pairs in Tags by Salience]],0),FALSE)</f>
        <v>51</v>
      </c>
    </row>
    <row r="355" spans="1:3" ht="15">
      <c r="A355" s="84" t="s">
        <v>2756</v>
      </c>
      <c r="B355" s="87" t="s">
        <v>341</v>
      </c>
      <c r="C355" s="83">
        <f>VLOOKUP(GroupVertices[[#This Row],[Vertex]],Vertices[],MATCH("ID",Vertices[[#Headers],[Vertex]:[Top Word Pairs in Tags by Salience]],0),FALSE)</f>
        <v>130</v>
      </c>
    </row>
    <row r="356" spans="1:3" ht="15">
      <c r="A356" s="84" t="s">
        <v>2756</v>
      </c>
      <c r="B356" s="87" t="s">
        <v>309</v>
      </c>
      <c r="C356" s="83">
        <f>VLOOKUP(GroupVertices[[#This Row],[Vertex]],Vertices[],MATCH("ID",Vertices[[#Headers],[Vertex]:[Top Word Pairs in Tags by Salience]],0),FALSE)</f>
        <v>91</v>
      </c>
    </row>
    <row r="357" spans="1:3" ht="15">
      <c r="A357" s="84" t="s">
        <v>2756</v>
      </c>
      <c r="B357" s="87" t="s">
        <v>308</v>
      </c>
      <c r="C357" s="83">
        <f>VLOOKUP(GroupVertices[[#This Row],[Vertex]],Vertices[],MATCH("ID",Vertices[[#Headers],[Vertex]:[Top Word Pairs in Tags by Salience]],0),FALSE)</f>
        <v>90</v>
      </c>
    </row>
    <row r="358" spans="1:3" ht="15">
      <c r="A358" s="84" t="s">
        <v>2756</v>
      </c>
      <c r="B358" s="87" t="s">
        <v>307</v>
      </c>
      <c r="C358" s="83">
        <f>VLOOKUP(GroupVertices[[#This Row],[Vertex]],Vertices[],MATCH("ID",Vertices[[#Headers],[Vertex]:[Top Word Pairs in Tags by Salience]],0),FALSE)</f>
        <v>89</v>
      </c>
    </row>
    <row r="359" spans="1:3" ht="15">
      <c r="A359" s="84" t="s">
        <v>2756</v>
      </c>
      <c r="B359" s="87" t="s">
        <v>306</v>
      </c>
      <c r="C359" s="83">
        <f>VLOOKUP(GroupVertices[[#This Row],[Vertex]],Vertices[],MATCH("ID",Vertices[[#Headers],[Vertex]:[Top Word Pairs in Tags by Salience]],0),FALSE)</f>
        <v>88</v>
      </c>
    </row>
    <row r="360" spans="1:3" ht="15">
      <c r="A360" s="84" t="s">
        <v>2756</v>
      </c>
      <c r="B360" s="87" t="s">
        <v>305</v>
      </c>
      <c r="C360" s="83">
        <f>VLOOKUP(GroupVertices[[#This Row],[Vertex]],Vertices[],MATCH("ID",Vertices[[#Headers],[Vertex]:[Top Word Pairs in Tags by Salience]],0),FALSE)</f>
        <v>87</v>
      </c>
    </row>
    <row r="361" spans="1:3" ht="15">
      <c r="A361" s="84" t="s">
        <v>2756</v>
      </c>
      <c r="B361" s="87" t="s">
        <v>304</v>
      </c>
      <c r="C361" s="83">
        <f>VLOOKUP(GroupVertices[[#This Row],[Vertex]],Vertices[],MATCH("ID",Vertices[[#Headers],[Vertex]:[Top Word Pairs in Tags by Salience]],0),FALSE)</f>
        <v>86</v>
      </c>
    </row>
    <row r="362" spans="1:3" ht="15">
      <c r="A362" s="84" t="s">
        <v>2756</v>
      </c>
      <c r="B362" s="87" t="s">
        <v>303</v>
      </c>
      <c r="C362" s="83">
        <f>VLOOKUP(GroupVertices[[#This Row],[Vertex]],Vertices[],MATCH("ID",Vertices[[#Headers],[Vertex]:[Top Word Pairs in Tags by Salience]],0),FALSE)</f>
        <v>85</v>
      </c>
    </row>
    <row r="363" spans="1:3" ht="15">
      <c r="A363" s="84" t="s">
        <v>2756</v>
      </c>
      <c r="B363" s="87" t="s">
        <v>302</v>
      </c>
      <c r="C363" s="83">
        <f>VLOOKUP(GroupVertices[[#This Row],[Vertex]],Vertices[],MATCH("ID",Vertices[[#Headers],[Vertex]:[Top Word Pairs in Tags by Salience]],0),FALSE)</f>
        <v>84</v>
      </c>
    </row>
    <row r="364" spans="1:3" ht="15">
      <c r="A364" s="84" t="s">
        <v>2756</v>
      </c>
      <c r="B364" s="87" t="s">
        <v>301</v>
      </c>
      <c r="C364" s="83">
        <f>VLOOKUP(GroupVertices[[#This Row],[Vertex]],Vertices[],MATCH("ID",Vertices[[#Headers],[Vertex]:[Top Word Pairs in Tags by Salience]],0),FALSE)</f>
        <v>83</v>
      </c>
    </row>
    <row r="365" spans="1:3" ht="15">
      <c r="A365" s="84" t="s">
        <v>2756</v>
      </c>
      <c r="B365" s="87" t="s">
        <v>272</v>
      </c>
      <c r="C365" s="83">
        <f>VLOOKUP(GroupVertices[[#This Row],[Vertex]],Vertices[],MATCH("ID",Vertices[[#Headers],[Vertex]:[Top Word Pairs in Tags by Salience]],0),FALSE)</f>
        <v>52</v>
      </c>
    </row>
    <row r="366" spans="1:3" ht="15">
      <c r="A366" s="84" t="s">
        <v>2756</v>
      </c>
      <c r="B366" s="87" t="s">
        <v>271</v>
      </c>
      <c r="C366" s="83">
        <f>VLOOKUP(GroupVertices[[#This Row],[Vertex]],Vertices[],MATCH("ID",Vertices[[#Headers],[Vertex]:[Top Word Pairs in Tags by Salience]],0),FALSE)</f>
        <v>50</v>
      </c>
    </row>
    <row r="367" spans="1:3" ht="15">
      <c r="A367" s="84" t="s">
        <v>2757</v>
      </c>
      <c r="B367" s="87" t="s">
        <v>347</v>
      </c>
      <c r="C367" s="83">
        <f>VLOOKUP(GroupVertices[[#This Row],[Vertex]],Vertices[],MATCH("ID",Vertices[[#Headers],[Vertex]:[Top Word Pairs in Tags by Salience]],0),FALSE)</f>
        <v>137</v>
      </c>
    </row>
    <row r="368" spans="1:3" ht="15">
      <c r="A368" s="84" t="s">
        <v>2757</v>
      </c>
      <c r="B368" s="87" t="s">
        <v>638</v>
      </c>
      <c r="C368" s="83">
        <f>VLOOKUP(GroupVertices[[#This Row],[Vertex]],Vertices[],MATCH("ID",Vertices[[#Headers],[Vertex]:[Top Word Pairs in Tags by Salience]],0),FALSE)</f>
        <v>111</v>
      </c>
    </row>
    <row r="369" spans="1:3" ht="15">
      <c r="A369" s="84" t="s">
        <v>2757</v>
      </c>
      <c r="B369" s="87" t="s">
        <v>346</v>
      </c>
      <c r="C369" s="83">
        <f>VLOOKUP(GroupVertices[[#This Row],[Vertex]],Vertices[],MATCH("ID",Vertices[[#Headers],[Vertex]:[Top Word Pairs in Tags by Salience]],0),FALSE)</f>
        <v>136</v>
      </c>
    </row>
    <row r="370" spans="1:3" ht="15">
      <c r="A370" s="84" t="s">
        <v>2757</v>
      </c>
      <c r="B370" s="87" t="s">
        <v>345</v>
      </c>
      <c r="C370" s="83">
        <f>VLOOKUP(GroupVertices[[#This Row],[Vertex]],Vertices[],MATCH("ID",Vertices[[#Headers],[Vertex]:[Top Word Pairs in Tags by Salience]],0),FALSE)</f>
        <v>135</v>
      </c>
    </row>
    <row r="371" spans="1:3" ht="15">
      <c r="A371" s="84" t="s">
        <v>2757</v>
      </c>
      <c r="B371" s="87" t="s">
        <v>344</v>
      </c>
      <c r="C371" s="83">
        <f>VLOOKUP(GroupVertices[[#This Row],[Vertex]],Vertices[],MATCH("ID",Vertices[[#Headers],[Vertex]:[Top Word Pairs in Tags by Salience]],0),FALSE)</f>
        <v>134</v>
      </c>
    </row>
    <row r="372" spans="1:3" ht="15">
      <c r="A372" s="84" t="s">
        <v>2757</v>
      </c>
      <c r="B372" s="87" t="s">
        <v>343</v>
      </c>
      <c r="C372" s="83">
        <f>VLOOKUP(GroupVertices[[#This Row],[Vertex]],Vertices[],MATCH("ID",Vertices[[#Headers],[Vertex]:[Top Word Pairs in Tags by Salience]],0),FALSE)</f>
        <v>133</v>
      </c>
    </row>
    <row r="373" spans="1:3" ht="15">
      <c r="A373" s="84" t="s">
        <v>2757</v>
      </c>
      <c r="B373" s="87" t="s">
        <v>340</v>
      </c>
      <c r="C373" s="83">
        <f>VLOOKUP(GroupVertices[[#This Row],[Vertex]],Vertices[],MATCH("ID",Vertices[[#Headers],[Vertex]:[Top Word Pairs in Tags by Salience]],0),FALSE)</f>
        <v>129</v>
      </c>
    </row>
    <row r="374" spans="1:3" ht="15">
      <c r="A374" s="84" t="s">
        <v>2757</v>
      </c>
      <c r="B374" s="87" t="s">
        <v>335</v>
      </c>
      <c r="C374" s="83">
        <f>VLOOKUP(GroupVertices[[#This Row],[Vertex]],Vertices[],MATCH("ID",Vertices[[#Headers],[Vertex]:[Top Word Pairs in Tags by Salience]],0),FALSE)</f>
        <v>123</v>
      </c>
    </row>
    <row r="375" spans="1:3" ht="15">
      <c r="A375" s="84" t="s">
        <v>2757</v>
      </c>
      <c r="B375" s="87" t="s">
        <v>334</v>
      </c>
      <c r="C375" s="83">
        <f>VLOOKUP(GroupVertices[[#This Row],[Vertex]],Vertices[],MATCH("ID",Vertices[[#Headers],[Vertex]:[Top Word Pairs in Tags by Salience]],0),FALSE)</f>
        <v>122</v>
      </c>
    </row>
    <row r="376" spans="1:3" ht="15">
      <c r="A376" s="84" t="s">
        <v>2757</v>
      </c>
      <c r="B376" s="87" t="s">
        <v>333</v>
      </c>
      <c r="C376" s="83">
        <f>VLOOKUP(GroupVertices[[#This Row],[Vertex]],Vertices[],MATCH("ID",Vertices[[#Headers],[Vertex]:[Top Word Pairs in Tags by Salience]],0),FALSE)</f>
        <v>121</v>
      </c>
    </row>
    <row r="377" spans="1:3" ht="15">
      <c r="A377" s="84" t="s">
        <v>2757</v>
      </c>
      <c r="B377" s="87" t="s">
        <v>332</v>
      </c>
      <c r="C377" s="83">
        <f>VLOOKUP(GroupVertices[[#This Row],[Vertex]],Vertices[],MATCH("ID",Vertices[[#Headers],[Vertex]:[Top Word Pairs in Tags by Salience]],0),FALSE)</f>
        <v>120</v>
      </c>
    </row>
    <row r="378" spans="1:3" ht="15">
      <c r="A378" s="84" t="s">
        <v>2757</v>
      </c>
      <c r="B378" s="87" t="s">
        <v>331</v>
      </c>
      <c r="C378" s="83">
        <f>VLOOKUP(GroupVertices[[#This Row],[Vertex]],Vertices[],MATCH("ID",Vertices[[#Headers],[Vertex]:[Top Word Pairs in Tags by Salience]],0),FALSE)</f>
        <v>119</v>
      </c>
    </row>
    <row r="379" spans="1:3" ht="15">
      <c r="A379" s="84" t="s">
        <v>2757</v>
      </c>
      <c r="B379" s="87" t="s">
        <v>330</v>
      </c>
      <c r="C379" s="83">
        <f>VLOOKUP(GroupVertices[[#This Row],[Vertex]],Vertices[],MATCH("ID",Vertices[[#Headers],[Vertex]:[Top Word Pairs in Tags by Salience]],0),FALSE)</f>
        <v>118</v>
      </c>
    </row>
    <row r="380" spans="1:3" ht="15">
      <c r="A380" s="84" t="s">
        <v>2757</v>
      </c>
      <c r="B380" s="87" t="s">
        <v>325</v>
      </c>
      <c r="C380" s="83">
        <f>VLOOKUP(GroupVertices[[#This Row],[Vertex]],Vertices[],MATCH("ID",Vertices[[#Headers],[Vertex]:[Top Word Pairs in Tags by Salience]],0),FALSE)</f>
        <v>110</v>
      </c>
    </row>
    <row r="381" spans="1:3" ht="15">
      <c r="A381" s="84" t="s">
        <v>2758</v>
      </c>
      <c r="B381" s="87" t="s">
        <v>354</v>
      </c>
      <c r="C381" s="83">
        <f>VLOOKUP(GroupVertices[[#This Row],[Vertex]],Vertices[],MATCH("ID",Vertices[[#Headers],[Vertex]:[Top Word Pairs in Tags by Salience]],0),FALSE)</f>
        <v>145</v>
      </c>
    </row>
    <row r="382" spans="1:3" ht="15">
      <c r="A382" s="84" t="s">
        <v>2758</v>
      </c>
      <c r="B382" s="87" t="s">
        <v>639</v>
      </c>
      <c r="C382" s="83">
        <f>VLOOKUP(GroupVertices[[#This Row],[Vertex]],Vertices[],MATCH("ID",Vertices[[#Headers],[Vertex]:[Top Word Pairs in Tags by Salience]],0),FALSE)</f>
        <v>125</v>
      </c>
    </row>
    <row r="383" spans="1:3" ht="15">
      <c r="A383" s="84" t="s">
        <v>2758</v>
      </c>
      <c r="B383" s="87" t="s">
        <v>353</v>
      </c>
      <c r="C383" s="83">
        <f>VLOOKUP(GroupVertices[[#This Row],[Vertex]],Vertices[],MATCH("ID",Vertices[[#Headers],[Vertex]:[Top Word Pairs in Tags by Salience]],0),FALSE)</f>
        <v>144</v>
      </c>
    </row>
    <row r="384" spans="1:3" ht="15">
      <c r="A384" s="84" t="s">
        <v>2758</v>
      </c>
      <c r="B384" s="87" t="s">
        <v>352</v>
      </c>
      <c r="C384" s="83">
        <f>VLOOKUP(GroupVertices[[#This Row],[Vertex]],Vertices[],MATCH("ID",Vertices[[#Headers],[Vertex]:[Top Word Pairs in Tags by Salience]],0),FALSE)</f>
        <v>143</v>
      </c>
    </row>
    <row r="385" spans="1:3" ht="15">
      <c r="A385" s="84" t="s">
        <v>2758</v>
      </c>
      <c r="B385" s="87" t="s">
        <v>349</v>
      </c>
      <c r="C385" s="83">
        <f>VLOOKUP(GroupVertices[[#This Row],[Vertex]],Vertices[],MATCH("ID",Vertices[[#Headers],[Vertex]:[Top Word Pairs in Tags by Salience]],0),FALSE)</f>
        <v>139</v>
      </c>
    </row>
    <row r="386" spans="1:3" ht="15">
      <c r="A386" s="84" t="s">
        <v>2758</v>
      </c>
      <c r="B386" s="87" t="s">
        <v>348</v>
      </c>
      <c r="C386" s="83">
        <f>VLOOKUP(GroupVertices[[#This Row],[Vertex]],Vertices[],MATCH("ID",Vertices[[#Headers],[Vertex]:[Top Word Pairs in Tags by Salience]],0),FALSE)</f>
        <v>138</v>
      </c>
    </row>
    <row r="387" spans="1:3" ht="15">
      <c r="A387" s="84" t="s">
        <v>2758</v>
      </c>
      <c r="B387" s="87" t="s">
        <v>339</v>
      </c>
      <c r="C387" s="83">
        <f>VLOOKUP(GroupVertices[[#This Row],[Vertex]],Vertices[],MATCH("ID",Vertices[[#Headers],[Vertex]:[Top Word Pairs in Tags by Salience]],0),FALSE)</f>
        <v>128</v>
      </c>
    </row>
    <row r="388" spans="1:3" ht="15">
      <c r="A388" s="84" t="s">
        <v>2758</v>
      </c>
      <c r="B388" s="87" t="s">
        <v>338</v>
      </c>
      <c r="C388" s="83">
        <f>VLOOKUP(GroupVertices[[#This Row],[Vertex]],Vertices[],MATCH("ID",Vertices[[#Headers],[Vertex]:[Top Word Pairs in Tags by Salience]],0),FALSE)</f>
        <v>127</v>
      </c>
    </row>
    <row r="389" spans="1:3" ht="15">
      <c r="A389" s="84" t="s">
        <v>2758</v>
      </c>
      <c r="B389" s="87" t="s">
        <v>337</v>
      </c>
      <c r="C389" s="83">
        <f>VLOOKUP(GroupVertices[[#This Row],[Vertex]],Vertices[],MATCH("ID",Vertices[[#Headers],[Vertex]:[Top Word Pairs in Tags by Salience]],0),FALSE)</f>
        <v>126</v>
      </c>
    </row>
    <row r="390" spans="1:3" ht="15">
      <c r="A390" s="84" t="s">
        <v>2758</v>
      </c>
      <c r="B390" s="87" t="s">
        <v>336</v>
      </c>
      <c r="C390" s="83">
        <f>VLOOKUP(GroupVertices[[#This Row],[Vertex]],Vertices[],MATCH("ID",Vertices[[#Headers],[Vertex]:[Top Word Pairs in Tags by Salience]],0),FALSE)</f>
        <v>124</v>
      </c>
    </row>
    <row r="391" spans="1:3" ht="15">
      <c r="A391" s="84" t="s">
        <v>2759</v>
      </c>
      <c r="B391" s="87" t="s">
        <v>256</v>
      </c>
      <c r="C391" s="83">
        <f>VLOOKUP(GroupVertices[[#This Row],[Vertex]],Vertices[],MATCH("ID",Vertices[[#Headers],[Vertex]:[Top Word Pairs in Tags by Salience]],0),FALSE)</f>
        <v>33</v>
      </c>
    </row>
    <row r="392" spans="1:3" ht="15">
      <c r="A392" s="84" t="s">
        <v>2759</v>
      </c>
      <c r="B392" s="87" t="s">
        <v>606</v>
      </c>
      <c r="C392" s="83">
        <f>VLOOKUP(GroupVertices[[#This Row],[Vertex]],Vertices[],MATCH("ID",Vertices[[#Headers],[Vertex]:[Top Word Pairs in Tags by Salience]],0),FALSE)</f>
        <v>27</v>
      </c>
    </row>
    <row r="393" spans="1:3" ht="15">
      <c r="A393" s="84" t="s">
        <v>2759</v>
      </c>
      <c r="B393" s="87" t="s">
        <v>255</v>
      </c>
      <c r="C393" s="83">
        <f>VLOOKUP(GroupVertices[[#This Row],[Vertex]],Vertices[],MATCH("ID",Vertices[[#Headers],[Vertex]:[Top Word Pairs in Tags by Salience]],0),FALSE)</f>
        <v>32</v>
      </c>
    </row>
    <row r="394" spans="1:3" ht="15">
      <c r="A394" s="84" t="s">
        <v>2759</v>
      </c>
      <c r="B394" s="87" t="s">
        <v>254</v>
      </c>
      <c r="C394" s="83">
        <f>VLOOKUP(GroupVertices[[#This Row],[Vertex]],Vertices[],MATCH("ID",Vertices[[#Headers],[Vertex]:[Top Word Pairs in Tags by Salience]],0),FALSE)</f>
        <v>31</v>
      </c>
    </row>
    <row r="395" spans="1:3" ht="15">
      <c r="A395" s="84" t="s">
        <v>2759</v>
      </c>
      <c r="B395" s="87" t="s">
        <v>253</v>
      </c>
      <c r="C395" s="83">
        <f>VLOOKUP(GroupVertices[[#This Row],[Vertex]],Vertices[],MATCH("ID",Vertices[[#Headers],[Vertex]:[Top Word Pairs in Tags by Salience]],0),FALSE)</f>
        <v>30</v>
      </c>
    </row>
    <row r="396" spans="1:3" ht="15">
      <c r="A396" s="84" t="s">
        <v>2759</v>
      </c>
      <c r="B396" s="87" t="s">
        <v>252</v>
      </c>
      <c r="C396" s="83">
        <f>VLOOKUP(GroupVertices[[#This Row],[Vertex]],Vertices[],MATCH("ID",Vertices[[#Headers],[Vertex]:[Top Word Pairs in Tags by Salience]],0),FALSE)</f>
        <v>29</v>
      </c>
    </row>
    <row r="397" spans="1:3" ht="15">
      <c r="A397" s="84" t="s">
        <v>2759</v>
      </c>
      <c r="B397" s="87" t="s">
        <v>251</v>
      </c>
      <c r="C397" s="83">
        <f>VLOOKUP(GroupVertices[[#This Row],[Vertex]],Vertices[],MATCH("ID",Vertices[[#Headers],[Vertex]:[Top Word Pairs in Tags by Salience]],0),FALSE)</f>
        <v>28</v>
      </c>
    </row>
    <row r="398" spans="1:3" ht="15">
      <c r="A398" s="84" t="s">
        <v>2759</v>
      </c>
      <c r="B398" s="87" t="s">
        <v>250</v>
      </c>
      <c r="C398" s="83">
        <f>VLOOKUP(GroupVertices[[#This Row],[Vertex]],Vertices[],MATCH("ID",Vertices[[#Headers],[Vertex]:[Top Word Pairs in Tags by Salience]],0),FALSE)</f>
        <v>26</v>
      </c>
    </row>
    <row r="399" spans="1:3" ht="15">
      <c r="A399" s="84" t="s">
        <v>2760</v>
      </c>
      <c r="B399" s="87" t="s">
        <v>323</v>
      </c>
      <c r="C399" s="83">
        <f>VLOOKUP(GroupVertices[[#This Row],[Vertex]],Vertices[],MATCH("ID",Vertices[[#Headers],[Vertex]:[Top Word Pairs in Tags by Salience]],0),FALSE)</f>
        <v>108</v>
      </c>
    </row>
    <row r="400" spans="1:3" ht="15">
      <c r="A400" s="84" t="s">
        <v>2760</v>
      </c>
      <c r="B400" s="87" t="s">
        <v>631</v>
      </c>
      <c r="C400" s="83">
        <f>VLOOKUP(GroupVertices[[#This Row],[Vertex]],Vertices[],MATCH("ID",Vertices[[#Headers],[Vertex]:[Top Word Pairs in Tags by Salience]],0),FALSE)</f>
        <v>96</v>
      </c>
    </row>
    <row r="401" spans="1:3" ht="15">
      <c r="A401" s="84" t="s">
        <v>2760</v>
      </c>
      <c r="B401" s="87" t="s">
        <v>322</v>
      </c>
      <c r="C401" s="83">
        <f>VLOOKUP(GroupVertices[[#This Row],[Vertex]],Vertices[],MATCH("ID",Vertices[[#Headers],[Vertex]:[Top Word Pairs in Tags by Salience]],0),FALSE)</f>
        <v>107</v>
      </c>
    </row>
    <row r="402" spans="1:3" ht="15">
      <c r="A402" s="84" t="s">
        <v>2760</v>
      </c>
      <c r="B402" s="87" t="s">
        <v>321</v>
      </c>
      <c r="C402" s="83">
        <f>VLOOKUP(GroupVertices[[#This Row],[Vertex]],Vertices[],MATCH("ID",Vertices[[#Headers],[Vertex]:[Top Word Pairs in Tags by Salience]],0),FALSE)</f>
        <v>106</v>
      </c>
    </row>
    <row r="403" spans="1:3" ht="15">
      <c r="A403" s="84" t="s">
        <v>2760</v>
      </c>
      <c r="B403" s="87" t="s">
        <v>312</v>
      </c>
      <c r="C403" s="83">
        <f>VLOOKUP(GroupVertices[[#This Row],[Vertex]],Vertices[],MATCH("ID",Vertices[[#Headers],[Vertex]:[Top Word Pairs in Tags by Salience]],0),FALSE)</f>
        <v>95</v>
      </c>
    </row>
    <row r="404" spans="1:3" ht="15">
      <c r="A404" s="84" t="s">
        <v>2761</v>
      </c>
      <c r="B404" s="87" t="s">
        <v>357</v>
      </c>
      <c r="C404" s="83">
        <f>VLOOKUP(GroupVertices[[#This Row],[Vertex]],Vertices[],MATCH("ID",Vertices[[#Headers],[Vertex]:[Top Word Pairs in Tags by Salience]],0),FALSE)</f>
        <v>149</v>
      </c>
    </row>
    <row r="405" spans="1:3" ht="15">
      <c r="A405" s="84" t="s">
        <v>2761</v>
      </c>
      <c r="B405" s="87" t="s">
        <v>641</v>
      </c>
      <c r="C405" s="83">
        <f>VLOOKUP(GroupVertices[[#This Row],[Vertex]],Vertices[],MATCH("ID",Vertices[[#Headers],[Vertex]:[Top Word Pairs in Tags by Salience]],0),FALSE)</f>
        <v>147</v>
      </c>
    </row>
    <row r="406" spans="1:3" ht="15">
      <c r="A406" s="84" t="s">
        <v>2761</v>
      </c>
      <c r="B406" s="87" t="s">
        <v>356</v>
      </c>
      <c r="C406" s="83">
        <f>VLOOKUP(GroupVertices[[#This Row],[Vertex]],Vertices[],MATCH("ID",Vertices[[#Headers],[Vertex]:[Top Word Pairs in Tags by Salience]],0),FALSE)</f>
        <v>148</v>
      </c>
    </row>
    <row r="407" spans="1:3" ht="15">
      <c r="A407" s="84" t="s">
        <v>2761</v>
      </c>
      <c r="B407" s="87" t="s">
        <v>355</v>
      </c>
      <c r="C407" s="83">
        <f>VLOOKUP(GroupVertices[[#This Row],[Vertex]],Vertices[],MATCH("ID",Vertices[[#Headers],[Vertex]:[Top Word Pairs in Tags by Salience]],0),FALSE)</f>
        <v>146</v>
      </c>
    </row>
    <row r="408" spans="1:3" ht="15">
      <c r="A408" s="84" t="s">
        <v>2762</v>
      </c>
      <c r="B408" s="87" t="s">
        <v>351</v>
      </c>
      <c r="C408" s="83">
        <f>VLOOKUP(GroupVertices[[#This Row],[Vertex]],Vertices[],MATCH("ID",Vertices[[#Headers],[Vertex]:[Top Word Pairs in Tags by Salience]],0),FALSE)</f>
        <v>142</v>
      </c>
    </row>
    <row r="409" spans="1:3" ht="15">
      <c r="A409" s="84" t="s">
        <v>2762</v>
      </c>
      <c r="B409" s="87" t="s">
        <v>644</v>
      </c>
      <c r="C409" s="83">
        <f>VLOOKUP(GroupVertices[[#This Row],[Vertex]],Vertices[],MATCH("ID",Vertices[[#Headers],[Vertex]:[Top Word Pairs in Tags by Salience]],0),FALSE)</f>
        <v>141</v>
      </c>
    </row>
    <row r="410" spans="1:3" ht="15">
      <c r="A410" s="84" t="s">
        <v>2762</v>
      </c>
      <c r="B410" s="87" t="s">
        <v>350</v>
      </c>
      <c r="C410" s="83">
        <f>VLOOKUP(GroupVertices[[#This Row],[Vertex]],Vertices[],MATCH("ID",Vertices[[#Headers],[Vertex]:[Top Word Pairs in Tags by Salience]],0),FALSE)</f>
        <v>140</v>
      </c>
    </row>
    <row r="411" spans="1:3" ht="15">
      <c r="A411" s="84" t="s">
        <v>2763</v>
      </c>
      <c r="B411" s="87" t="s">
        <v>328</v>
      </c>
      <c r="C411" s="83">
        <f>VLOOKUP(GroupVertices[[#This Row],[Vertex]],Vertices[],MATCH("ID",Vertices[[#Headers],[Vertex]:[Top Word Pairs in Tags by Salience]],0),FALSE)</f>
        <v>115</v>
      </c>
    </row>
    <row r="412" spans="1:3" ht="15">
      <c r="A412" s="84" t="s">
        <v>2763</v>
      </c>
      <c r="B412" s="87" t="s">
        <v>633</v>
      </c>
      <c r="C412" s="83">
        <f>VLOOKUP(GroupVertices[[#This Row],[Vertex]],Vertices[],MATCH("ID",Vertices[[#Headers],[Vertex]:[Top Word Pairs in Tags by Salience]],0),FALSE)</f>
        <v>114</v>
      </c>
    </row>
    <row r="413" spans="1:3" ht="15">
      <c r="A413" s="84" t="s">
        <v>2763</v>
      </c>
      <c r="B413" s="87" t="s">
        <v>327</v>
      </c>
      <c r="C413" s="83">
        <f>VLOOKUP(GroupVertices[[#This Row],[Vertex]],Vertices[],MATCH("ID",Vertices[[#Headers],[Vertex]:[Top Word Pairs in Tags by Salience]],0),FALSE)</f>
        <v>113</v>
      </c>
    </row>
    <row r="414" spans="1:3" ht="15">
      <c r="A414" s="84" t="s">
        <v>2764</v>
      </c>
      <c r="B414" s="87" t="s">
        <v>311</v>
      </c>
      <c r="C414" s="83">
        <f>VLOOKUP(GroupVertices[[#This Row],[Vertex]],Vertices[],MATCH("ID",Vertices[[#Headers],[Vertex]:[Top Word Pairs in Tags by Salience]],0),FALSE)</f>
        <v>94</v>
      </c>
    </row>
    <row r="415" spans="1:3" ht="15">
      <c r="A415" s="84" t="s">
        <v>2764</v>
      </c>
      <c r="B415" s="87" t="s">
        <v>625</v>
      </c>
      <c r="C415" s="83">
        <f>VLOOKUP(GroupVertices[[#This Row],[Vertex]],Vertices[],MATCH("ID",Vertices[[#Headers],[Vertex]:[Top Word Pairs in Tags by Salience]],0),FALSE)</f>
        <v>93</v>
      </c>
    </row>
    <row r="416" spans="1:3" ht="15">
      <c r="A416" s="84" t="s">
        <v>2764</v>
      </c>
      <c r="B416" s="87" t="s">
        <v>310</v>
      </c>
      <c r="C416" s="83">
        <f>VLOOKUP(GroupVertices[[#This Row],[Vertex]],Vertices[],MATCH("ID",Vertices[[#Headers],[Vertex]:[Top Word Pairs in Tags by Salience]],0),FALSE)</f>
        <v>92</v>
      </c>
    </row>
    <row r="417" spans="1:3" ht="15">
      <c r="A417" s="84" t="s">
        <v>2765</v>
      </c>
      <c r="B417" s="87" t="s">
        <v>300</v>
      </c>
      <c r="C417" s="83">
        <f>VLOOKUP(GroupVertices[[#This Row],[Vertex]],Vertices[],MATCH("ID",Vertices[[#Headers],[Vertex]:[Top Word Pairs in Tags by Salience]],0),FALSE)</f>
        <v>82</v>
      </c>
    </row>
    <row r="418" spans="1:3" ht="15">
      <c r="A418" s="84" t="s">
        <v>2765</v>
      </c>
      <c r="B418" s="87" t="s">
        <v>619</v>
      </c>
      <c r="C418" s="83">
        <f>VLOOKUP(GroupVertices[[#This Row],[Vertex]],Vertices[],MATCH("ID",Vertices[[#Headers],[Vertex]:[Top Word Pairs in Tags by Salience]],0),FALSE)</f>
        <v>81</v>
      </c>
    </row>
    <row r="419" spans="1:3" ht="15">
      <c r="A419" s="84" t="s">
        <v>2765</v>
      </c>
      <c r="B419" s="87" t="s">
        <v>299</v>
      </c>
      <c r="C419" s="83">
        <f>VLOOKUP(GroupVertices[[#This Row],[Vertex]],Vertices[],MATCH("ID",Vertices[[#Headers],[Vertex]:[Top Word Pairs in Tags by Salience]],0),FALSE)</f>
        <v>80</v>
      </c>
    </row>
    <row r="420" spans="1:3" ht="15">
      <c r="A420" s="84" t="s">
        <v>2766</v>
      </c>
      <c r="B420" s="87" t="s">
        <v>645</v>
      </c>
      <c r="C420" s="83">
        <f>VLOOKUP(GroupVertices[[#This Row],[Vertex]],Vertices[],MATCH("ID",Vertices[[#Headers],[Vertex]:[Top Word Pairs in Tags by Salience]],0),FALSE)</f>
        <v>177</v>
      </c>
    </row>
    <row r="421" spans="1:3" ht="15">
      <c r="A421" s="84" t="s">
        <v>2766</v>
      </c>
      <c r="B421" s="87" t="s">
        <v>384</v>
      </c>
      <c r="C421" s="83">
        <f>VLOOKUP(GroupVertices[[#This Row],[Vertex]],Vertices[],MATCH("ID",Vertices[[#Headers],[Vertex]:[Top Word Pairs in Tags by Salience]],0),FALSE)</f>
        <v>176</v>
      </c>
    </row>
    <row r="422" spans="1:3" ht="15">
      <c r="A422" s="84" t="s">
        <v>2767</v>
      </c>
      <c r="B422" s="87" t="s">
        <v>634</v>
      </c>
      <c r="C422" s="83">
        <f>VLOOKUP(GroupVertices[[#This Row],[Vertex]],Vertices[],MATCH("ID",Vertices[[#Headers],[Vertex]:[Top Word Pairs in Tags by Salience]],0),FALSE)</f>
        <v>117</v>
      </c>
    </row>
    <row r="423" spans="1:3" ht="15">
      <c r="A423" s="84" t="s">
        <v>2767</v>
      </c>
      <c r="B423" s="87" t="s">
        <v>329</v>
      </c>
      <c r="C423" s="83">
        <f>VLOOKUP(GroupVertices[[#This Row],[Vertex]],Vertices[],MATCH("ID",Vertices[[#Headers],[Vertex]:[Top Word Pairs in Tags by Salience]],0),FALSE)</f>
        <v>116</v>
      </c>
    </row>
    <row r="424" spans="1:3" ht="15">
      <c r="A424" s="84" t="s">
        <v>2768</v>
      </c>
      <c r="B424" s="87" t="s">
        <v>609</v>
      </c>
      <c r="C424" s="83">
        <f>VLOOKUP(GroupVertices[[#This Row],[Vertex]],Vertices[],MATCH("ID",Vertices[[#Headers],[Vertex]:[Top Word Pairs in Tags by Salience]],0),FALSE)</f>
        <v>48</v>
      </c>
    </row>
    <row r="425" spans="1:3" ht="15">
      <c r="A425" s="84" t="s">
        <v>2768</v>
      </c>
      <c r="B425" s="87" t="s">
        <v>269</v>
      </c>
      <c r="C425" s="83">
        <f>VLOOKUP(GroupVertices[[#This Row],[Vertex]],Vertices[],MATCH("ID",Vertices[[#Headers],[Vertex]:[Top Word Pairs in Tags by Salience]],0),FALSE)</f>
        <v>47</v>
      </c>
    </row>
  </sheetData>
  <dataValidations count="3" xWindow="58" yWindow="226">
    <dataValidation allowBlank="1" showInputMessage="1" showErrorMessage="1" promptTitle="Group Name" prompt="Enter the name of the group.  The group name must also be entered on the Groups worksheet." sqref="A2:A425"/>
    <dataValidation allowBlank="1" showInputMessage="1" showErrorMessage="1" promptTitle="Vertex Name" prompt="Enter the name of a vertex to include in the group." sqref="B2:B425"/>
    <dataValidation allowBlank="1" showInputMessage="1" promptTitle="Vertex ID" prompt="This is the value of the hidden ID cell in the Vertices worksheet.  It gets filled in by the items on the NodeXL, Analysis, Groups menu." sqref="C2:C4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2825</v>
      </c>
      <c r="B2" s="31" t="s">
        <v>2745</v>
      </c>
      <c r="D2" s="29">
        <f>MIN(Vertices[Degree])</f>
        <v>0</v>
      </c>
      <c r="E2">
        <f>COUNTIF(Vertices[Degree],"&gt;= "&amp;D2)-COUNTIF(Vertices[Degree],"&gt;="&amp;D3)</f>
        <v>0</v>
      </c>
      <c r="F2" s="34">
        <f>MIN(Vertices[In-Degree])</f>
        <v>0</v>
      </c>
      <c r="G2" s="35">
        <f>COUNTIF(Vertices[In-Degree],"&gt;= "&amp;F2)-COUNTIF(Vertices[In-Degree],"&gt;="&amp;F3)</f>
        <v>404</v>
      </c>
      <c r="H2" s="34">
        <f>MIN(Vertices[Out-Degree])</f>
        <v>1</v>
      </c>
      <c r="I2" s="35">
        <f>COUNTIF(Vertices[Out-Degree],"&gt;= "&amp;H2)-COUNTIF(Vertices[Out-Degree],"&gt;="&amp;H3)</f>
        <v>420</v>
      </c>
      <c r="J2" s="34">
        <f>MIN(Vertices[Betweenness Centrality])</f>
        <v>0</v>
      </c>
      <c r="K2" s="35">
        <f>COUNTIF(Vertices[Betweenness Centrality],"&gt;= "&amp;J2)-COUNTIF(Vertices[Betweenness Centrality],"&gt;="&amp;J3)</f>
        <v>417</v>
      </c>
      <c r="L2" s="34">
        <f>MIN(Vertices[Closeness Centrality])</f>
        <v>0</v>
      </c>
      <c r="M2" s="35">
        <f>COUNTIF(Vertices[Closeness Centrality],"&gt;= "&amp;L2)-COUNTIF(Vertices[Closeness Centrality],"&gt;="&amp;L3)</f>
        <v>47</v>
      </c>
      <c r="N2" s="34">
        <f>MIN(Vertices[Eigenvector Centrality])</f>
        <v>0</v>
      </c>
      <c r="O2" s="35">
        <f>COUNTIF(Vertices[Eigenvector Centrality],"&gt;= "&amp;N2)-COUNTIF(Vertices[Eigenvector Centrality],"&gt;="&amp;N3)</f>
        <v>323</v>
      </c>
      <c r="P2" s="34">
        <f>MIN(Vertices[PageRank])</f>
        <v>0.002053</v>
      </c>
      <c r="Q2" s="35">
        <f>COUNTIF(Vertices[PageRank],"&gt;= "&amp;P2)-COUNTIF(Vertices[PageRank],"&gt;="&amp;P3)</f>
        <v>409</v>
      </c>
      <c r="R2" s="34">
        <f>MIN(Vertices[Clustering Coefficient])</f>
        <v>0</v>
      </c>
      <c r="S2" s="40">
        <f>COUNTIF(Vertices[Clustering Coefficient],"&gt;= "&amp;R2)-COUNTIF(Vertices[Clustering Coefficient],"&gt;="&amp;R3)</f>
        <v>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09"/>
      <c r="B3" s="109"/>
      <c r="D3" s="29">
        <f aca="true" t="shared" si="1" ref="D3:D35">D2+($D$36-$D$2)/BinDivisor</f>
        <v>0</v>
      </c>
      <c r="E3">
        <f>COUNTIF(Vertices[Degree],"&gt;= "&amp;D3)-COUNTIF(Vertices[Degree],"&gt;="&amp;D4)</f>
        <v>0</v>
      </c>
      <c r="F3" s="36">
        <f aca="true" t="shared" si="2" ref="F3:F35">F2+($F$36-$F$2)/BinDivisor</f>
        <v>2.9705882352941178</v>
      </c>
      <c r="G3" s="37">
        <f>COUNTIF(Vertices[In-Degree],"&gt;= "&amp;F3)-COUNTIF(Vertices[In-Degree],"&gt;="&amp;F4)</f>
        <v>7</v>
      </c>
      <c r="H3" s="36">
        <f aca="true" t="shared" si="3" ref="H3:H35">H2+($H$36-$H$2)/BinDivisor</f>
        <v>1.0294117647058822</v>
      </c>
      <c r="I3" s="37">
        <f>COUNTIF(Vertices[Out-Degree],"&gt;= "&amp;H3)-COUNTIF(Vertices[Out-Degree],"&gt;="&amp;H4)</f>
        <v>0</v>
      </c>
      <c r="J3" s="36">
        <f aca="true" t="shared" si="4" ref="J3:J35">J2+($J$36-$J$2)/BinDivisor</f>
        <v>407.6470588235294</v>
      </c>
      <c r="K3" s="37">
        <f>COUNTIF(Vertices[Betweenness Centrality],"&gt;= "&amp;J3)-COUNTIF(Vertices[Betweenness Centrality],"&gt;="&amp;J4)</f>
        <v>2</v>
      </c>
      <c r="L3" s="36">
        <f aca="true" t="shared" si="5" ref="L3:L35">L2+($L$36-$L$2)/BinDivisor</f>
        <v>0.006297176470588235</v>
      </c>
      <c r="M3" s="37">
        <f>COUNTIF(Vertices[Closeness Centrality],"&gt;= "&amp;L3)-COUNTIF(Vertices[Closeness Centrality],"&gt;="&amp;L4)</f>
        <v>20</v>
      </c>
      <c r="N3" s="36">
        <f aca="true" t="shared" si="6" ref="N3:N35">N2+($N$36-$N$2)/BinDivisor</f>
        <v>0.021307735294117645</v>
      </c>
      <c r="O3" s="37">
        <f>COUNTIF(Vertices[Eigenvector Centrality],"&gt;= "&amp;N3)-COUNTIF(Vertices[Eigenvector Centrality],"&gt;="&amp;N4)</f>
        <v>0</v>
      </c>
      <c r="P3" s="36">
        <f aca="true" t="shared" si="7" ref="P3:P35">P2+($P$36-$P$2)/BinDivisor</f>
        <v>0.0029544705882352945</v>
      </c>
      <c r="Q3" s="37">
        <f>COUNTIF(Vertices[PageRank],"&gt;= "&amp;P3)-COUNTIF(Vertices[PageRank],"&gt;="&amp;P4)</f>
        <v>2</v>
      </c>
      <c r="R3" s="36">
        <f aca="true" t="shared" si="8" ref="R3:R35">R2+($R$36-$R$2)/BinDivisor</f>
        <v>0</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424</v>
      </c>
      <c r="D4" s="29">
        <f t="shared" si="1"/>
        <v>0</v>
      </c>
      <c r="E4">
        <f>COUNTIF(Vertices[Degree],"&gt;= "&amp;D4)-COUNTIF(Vertices[Degree],"&gt;="&amp;D5)</f>
        <v>0</v>
      </c>
      <c r="F4" s="34">
        <f t="shared" si="2"/>
        <v>5.9411764705882355</v>
      </c>
      <c r="G4" s="35">
        <f>COUNTIF(Vertices[In-Degree],"&gt;= "&amp;F4)-COUNTIF(Vertices[In-Degree],"&gt;="&amp;F5)</f>
        <v>2</v>
      </c>
      <c r="H4" s="34">
        <f t="shared" si="3"/>
        <v>1.0588235294117645</v>
      </c>
      <c r="I4" s="35">
        <f>COUNTIF(Vertices[Out-Degree],"&gt;= "&amp;H4)-COUNTIF(Vertices[Out-Degree],"&gt;="&amp;H5)</f>
        <v>0</v>
      </c>
      <c r="J4" s="34">
        <f t="shared" si="4"/>
        <v>815.2941176470588</v>
      </c>
      <c r="K4" s="35">
        <f>COUNTIF(Vertices[Betweenness Centrality],"&gt;= "&amp;J4)-COUNTIF(Vertices[Betweenness Centrality],"&gt;="&amp;J5)</f>
        <v>0</v>
      </c>
      <c r="L4" s="34">
        <f t="shared" si="5"/>
        <v>0.01259435294117647</v>
      </c>
      <c r="M4" s="35">
        <f>COUNTIF(Vertices[Closeness Centrality],"&gt;= "&amp;L4)-COUNTIF(Vertices[Closeness Centrality],"&gt;="&amp;L5)</f>
        <v>39</v>
      </c>
      <c r="N4" s="34">
        <f t="shared" si="6"/>
        <v>0.04261547058823529</v>
      </c>
      <c r="O4" s="35">
        <f>COUNTIF(Vertices[Eigenvector Centrality],"&gt;= "&amp;N4)-COUNTIF(Vertices[Eigenvector Centrality],"&gt;="&amp;N5)</f>
        <v>0</v>
      </c>
      <c r="P4" s="34">
        <f t="shared" si="7"/>
        <v>0.003855941176470589</v>
      </c>
      <c r="Q4" s="35">
        <f>COUNTIF(Vertices[PageRank],"&gt;= "&amp;P4)-COUNTIF(Vertices[PageRank],"&gt;="&amp;P5)</f>
        <v>3</v>
      </c>
      <c r="R4" s="34">
        <f t="shared" si="8"/>
        <v>0</v>
      </c>
      <c r="S4" s="40">
        <f>COUNTIF(Vertices[Clustering Coefficient],"&gt;= "&amp;R4)-COUNTIF(Vertices[Clustering Coefficient],"&gt;="&amp;R5)</f>
        <v>0</v>
      </c>
      <c r="T4" s="34" t="e">
        <f ca="1" t="shared" si="9"/>
        <v>#REF!</v>
      </c>
      <c r="U4" s="35" t="e">
        <f ca="1" t="shared" si="0"/>
        <v>#REF!</v>
      </c>
      <c r="W4" t="s">
        <v>126</v>
      </c>
      <c r="X4" t="s">
        <v>128</v>
      </c>
    </row>
    <row r="5" spans="1:21" ht="15">
      <c r="A5" s="109"/>
      <c r="B5" s="109"/>
      <c r="D5" s="29">
        <f t="shared" si="1"/>
        <v>0</v>
      </c>
      <c r="E5">
        <f>COUNTIF(Vertices[Degree],"&gt;= "&amp;D5)-COUNTIF(Vertices[Degree],"&gt;="&amp;D6)</f>
        <v>0</v>
      </c>
      <c r="F5" s="36">
        <f t="shared" si="2"/>
        <v>8.911764705882353</v>
      </c>
      <c r="G5" s="37">
        <f>COUNTIF(Vertices[In-Degree],"&gt;= "&amp;F5)-COUNTIF(Vertices[In-Degree],"&gt;="&amp;F6)</f>
        <v>2</v>
      </c>
      <c r="H5" s="36">
        <f t="shared" si="3"/>
        <v>1.0882352941176467</v>
      </c>
      <c r="I5" s="37">
        <f>COUNTIF(Vertices[Out-Degree],"&gt;= "&amp;H5)-COUNTIF(Vertices[Out-Degree],"&gt;="&amp;H6)</f>
        <v>0</v>
      </c>
      <c r="J5" s="36">
        <f t="shared" si="4"/>
        <v>1222.9411764705883</v>
      </c>
      <c r="K5" s="37">
        <f>COUNTIF(Vertices[Betweenness Centrality],"&gt;= "&amp;J5)-COUNTIF(Vertices[Betweenness Centrality],"&gt;="&amp;J6)</f>
        <v>1</v>
      </c>
      <c r="L5" s="36">
        <f t="shared" si="5"/>
        <v>0.018891529411764703</v>
      </c>
      <c r="M5" s="37">
        <f>COUNTIF(Vertices[Closeness Centrality],"&gt;= "&amp;L5)-COUNTIF(Vertices[Closeness Centrality],"&gt;="&amp;L6)</f>
        <v>19</v>
      </c>
      <c r="N5" s="36">
        <f t="shared" si="6"/>
        <v>0.06392320588235294</v>
      </c>
      <c r="O5" s="37">
        <f>COUNTIF(Vertices[Eigenvector Centrality],"&gt;= "&amp;N5)-COUNTIF(Vertices[Eigenvector Centrality],"&gt;="&amp;N6)</f>
        <v>100</v>
      </c>
      <c r="P5" s="36">
        <f t="shared" si="7"/>
        <v>0.004757411764705883</v>
      </c>
      <c r="Q5" s="37">
        <f>COUNTIF(Vertices[PageRank],"&gt;= "&amp;P5)-COUNTIF(Vertices[PageRank],"&gt;="&amp;P6)</f>
        <v>2</v>
      </c>
      <c r="R5" s="36">
        <f t="shared" si="8"/>
        <v>0</v>
      </c>
      <c r="S5" s="41">
        <f>COUNTIF(Vertices[Clustering Coefficient],"&gt;= "&amp;R5)-COUNTIF(Vertices[Clustering Coefficient],"&gt;="&amp;R6)</f>
        <v>0</v>
      </c>
      <c r="T5" s="36" t="e">
        <f ca="1" t="shared" si="9"/>
        <v>#REF!</v>
      </c>
      <c r="U5" s="37" t="e">
        <f ca="1" t="shared" si="0"/>
        <v>#REF!</v>
      </c>
    </row>
    <row r="6" spans="1:21" ht="15">
      <c r="A6" s="31" t="s">
        <v>148</v>
      </c>
      <c r="B6" s="31">
        <v>385</v>
      </c>
      <c r="D6" s="29">
        <f t="shared" si="1"/>
        <v>0</v>
      </c>
      <c r="E6">
        <f>COUNTIF(Vertices[Degree],"&gt;= "&amp;D6)-COUNTIF(Vertices[Degree],"&gt;="&amp;D7)</f>
        <v>0</v>
      </c>
      <c r="F6" s="34">
        <f t="shared" si="2"/>
        <v>11.882352941176471</v>
      </c>
      <c r="G6" s="35">
        <f>COUNTIF(Vertices[In-Degree],"&gt;= "&amp;F6)-COUNTIF(Vertices[In-Degree],"&gt;="&amp;F7)</f>
        <v>2</v>
      </c>
      <c r="H6" s="34">
        <f t="shared" si="3"/>
        <v>1.117647058823529</v>
      </c>
      <c r="I6" s="35">
        <f>COUNTIF(Vertices[Out-Degree],"&gt;= "&amp;H6)-COUNTIF(Vertices[Out-Degree],"&gt;="&amp;H7)</f>
        <v>0</v>
      </c>
      <c r="J6" s="34">
        <f t="shared" si="4"/>
        <v>1630.5882352941176</v>
      </c>
      <c r="K6" s="35">
        <f>COUNTIF(Vertices[Betweenness Centrality],"&gt;= "&amp;J6)-COUNTIF(Vertices[Betweenness Centrality],"&gt;="&amp;J7)</f>
        <v>0</v>
      </c>
      <c r="L6" s="34">
        <f t="shared" si="5"/>
        <v>0.02518870588235294</v>
      </c>
      <c r="M6" s="35">
        <f>COUNTIF(Vertices[Closeness Centrality],"&gt;= "&amp;L6)-COUNTIF(Vertices[Closeness Centrality],"&gt;="&amp;L7)</f>
        <v>53</v>
      </c>
      <c r="N6" s="34">
        <f t="shared" si="6"/>
        <v>0.08523094117647058</v>
      </c>
      <c r="O6" s="35">
        <f>COUNTIF(Vertices[Eigenvector Centrality],"&gt;= "&amp;N6)-COUNTIF(Vertices[Eigenvector Centrality],"&gt;="&amp;N7)</f>
        <v>0</v>
      </c>
      <c r="P6" s="34">
        <f t="shared" si="7"/>
        <v>0.005658882352941178</v>
      </c>
      <c r="Q6" s="35">
        <f>COUNTIF(Vertices[PageRank],"&gt;= "&amp;P6)-COUNTIF(Vertices[PageRank],"&gt;="&amp;P7)</f>
        <v>1</v>
      </c>
      <c r="R6" s="34">
        <f t="shared" si="8"/>
        <v>0</v>
      </c>
      <c r="S6" s="40">
        <f>COUNTIF(Vertices[Clustering Coefficient],"&gt;= "&amp;R6)-COUNTIF(Vertices[Clustering Coefficient],"&gt;="&amp;R7)</f>
        <v>0</v>
      </c>
      <c r="T6" s="34" t="e">
        <f ca="1" t="shared" si="9"/>
        <v>#REF!</v>
      </c>
      <c r="U6" s="35" t="e">
        <f ca="1" t="shared" si="0"/>
        <v>#REF!</v>
      </c>
    </row>
    <row r="7" spans="1:21" ht="15">
      <c r="A7" s="31" t="s">
        <v>149</v>
      </c>
      <c r="B7" s="31">
        <v>114</v>
      </c>
      <c r="D7" s="29">
        <f t="shared" si="1"/>
        <v>0</v>
      </c>
      <c r="E7">
        <f>COUNTIF(Vertices[Degree],"&gt;= "&amp;D7)-COUNTIF(Vertices[Degree],"&gt;="&amp;D8)</f>
        <v>0</v>
      </c>
      <c r="F7" s="36">
        <f t="shared" si="2"/>
        <v>14.852941176470589</v>
      </c>
      <c r="G7" s="37">
        <f>COUNTIF(Vertices[In-Degree],"&gt;= "&amp;F7)-COUNTIF(Vertices[In-Degree],"&gt;="&amp;F8)</f>
        <v>1</v>
      </c>
      <c r="H7" s="36">
        <f t="shared" si="3"/>
        <v>1.1470588235294112</v>
      </c>
      <c r="I7" s="37">
        <f>COUNTIF(Vertices[Out-Degree],"&gt;= "&amp;H7)-COUNTIF(Vertices[Out-Degree],"&gt;="&amp;H8)</f>
        <v>0</v>
      </c>
      <c r="J7" s="36">
        <f t="shared" si="4"/>
        <v>2038.2352941176468</v>
      </c>
      <c r="K7" s="37">
        <f>COUNTIF(Vertices[Betweenness Centrality],"&gt;= "&amp;J7)-COUNTIF(Vertices[Betweenness Centrality],"&gt;="&amp;J8)</f>
        <v>0</v>
      </c>
      <c r="L7" s="36">
        <f t="shared" si="5"/>
        <v>0.031485882352941176</v>
      </c>
      <c r="M7" s="37">
        <f>COUNTIF(Vertices[Closeness Centrality],"&gt;= "&amp;L7)-COUNTIF(Vertices[Closeness Centrality],"&gt;="&amp;L8)</f>
        <v>0</v>
      </c>
      <c r="N7" s="36">
        <f t="shared" si="6"/>
        <v>0.10653867647058822</v>
      </c>
      <c r="O7" s="37">
        <f>COUNTIF(Vertices[Eigenvector Centrality],"&gt;= "&amp;N7)-COUNTIF(Vertices[Eigenvector Centrality],"&gt;="&amp;N8)</f>
        <v>0</v>
      </c>
      <c r="P7" s="36">
        <f t="shared" si="7"/>
        <v>0.006560352941176472</v>
      </c>
      <c r="Q7" s="37">
        <f>COUNTIF(Vertices[PageRank],"&gt;= "&amp;P7)-COUNTIF(Vertices[PageRank],"&gt;="&amp;P8)</f>
        <v>1</v>
      </c>
      <c r="R7" s="36">
        <f t="shared" si="8"/>
        <v>0</v>
      </c>
      <c r="S7" s="41">
        <f>COUNTIF(Vertices[Clustering Coefficient],"&gt;= "&amp;R7)-COUNTIF(Vertices[Clustering Coefficient],"&gt;="&amp;R8)</f>
        <v>0</v>
      </c>
      <c r="T7" s="36" t="e">
        <f ca="1" t="shared" si="9"/>
        <v>#REF!</v>
      </c>
      <c r="U7" s="37" t="e">
        <f ca="1" t="shared" si="0"/>
        <v>#REF!</v>
      </c>
    </row>
    <row r="8" spans="1:21" ht="15">
      <c r="A8" s="31" t="s">
        <v>150</v>
      </c>
      <c r="B8" s="31">
        <v>499</v>
      </c>
      <c r="D8" s="29">
        <f t="shared" si="1"/>
        <v>0</v>
      </c>
      <c r="E8">
        <f>COUNTIF(Vertices[Degree],"&gt;= "&amp;D8)-COUNTIF(Vertices[Degree],"&gt;="&amp;D9)</f>
        <v>0</v>
      </c>
      <c r="F8" s="34">
        <f t="shared" si="2"/>
        <v>17.823529411764707</v>
      </c>
      <c r="G8" s="35">
        <f>COUNTIF(Vertices[In-Degree],"&gt;= "&amp;F8)-COUNTIF(Vertices[In-Degree],"&gt;="&amp;F9)</f>
        <v>0</v>
      </c>
      <c r="H8" s="34">
        <f t="shared" si="3"/>
        <v>1.1764705882352935</v>
      </c>
      <c r="I8" s="35">
        <f>COUNTIF(Vertices[Out-Degree],"&gt;= "&amp;H8)-COUNTIF(Vertices[Out-Degree],"&gt;="&amp;H9)</f>
        <v>0</v>
      </c>
      <c r="J8" s="34">
        <f t="shared" si="4"/>
        <v>2445.882352941176</v>
      </c>
      <c r="K8" s="35">
        <f>COUNTIF(Vertices[Betweenness Centrality],"&gt;= "&amp;J8)-COUNTIF(Vertices[Betweenness Centrality],"&gt;="&amp;J9)</f>
        <v>0</v>
      </c>
      <c r="L8" s="34">
        <f t="shared" si="5"/>
        <v>0.03778305882352941</v>
      </c>
      <c r="M8" s="35">
        <f>COUNTIF(Vertices[Closeness Centrality],"&gt;= "&amp;L8)-COUNTIF(Vertices[Closeness Centrality],"&gt;="&amp;L9)</f>
        <v>1</v>
      </c>
      <c r="N8" s="34">
        <f t="shared" si="6"/>
        <v>0.12784641176470588</v>
      </c>
      <c r="O8" s="35">
        <f>COUNTIF(Vertices[Eigenvector Centrality],"&gt;= "&amp;N8)-COUNTIF(Vertices[Eigenvector Centrality],"&gt;="&amp;N9)</f>
        <v>0</v>
      </c>
      <c r="P8" s="34">
        <f t="shared" si="7"/>
        <v>0.007461823529411766</v>
      </c>
      <c r="Q8" s="35">
        <f>COUNTIF(Vertices[PageRank],"&gt;= "&amp;P8)-COUNTIF(Vertices[PageRank],"&gt;="&amp;P9)</f>
        <v>1</v>
      </c>
      <c r="R8" s="34">
        <f t="shared" si="8"/>
        <v>0</v>
      </c>
      <c r="S8" s="40">
        <f>COUNTIF(Vertices[Clustering Coefficient],"&gt;= "&amp;R8)-COUNTIF(Vertices[Clustering Coefficient],"&gt;="&amp;R9)</f>
        <v>0</v>
      </c>
      <c r="T8" s="34" t="e">
        <f ca="1" t="shared" si="9"/>
        <v>#REF!</v>
      </c>
      <c r="U8" s="35" t="e">
        <f ca="1" t="shared" si="0"/>
        <v>#REF!</v>
      </c>
    </row>
    <row r="9" spans="1:21" ht="15">
      <c r="A9" s="109"/>
      <c r="B9" s="109"/>
      <c r="D9" s="29">
        <f t="shared" si="1"/>
        <v>0</v>
      </c>
      <c r="E9">
        <f>COUNTIF(Vertices[Degree],"&gt;= "&amp;D9)-COUNTIF(Vertices[Degree],"&gt;="&amp;D10)</f>
        <v>0</v>
      </c>
      <c r="F9" s="36">
        <f t="shared" si="2"/>
        <v>20.794117647058826</v>
      </c>
      <c r="G9" s="37">
        <f>COUNTIF(Vertices[In-Degree],"&gt;= "&amp;F9)-COUNTIF(Vertices[In-Degree],"&gt;="&amp;F10)</f>
        <v>1</v>
      </c>
      <c r="H9" s="36">
        <f t="shared" si="3"/>
        <v>1.2058823529411757</v>
      </c>
      <c r="I9" s="37">
        <f>COUNTIF(Vertices[Out-Degree],"&gt;= "&amp;H9)-COUNTIF(Vertices[Out-Degree],"&gt;="&amp;H10)</f>
        <v>0</v>
      </c>
      <c r="J9" s="36">
        <f t="shared" si="4"/>
        <v>2853.5294117647054</v>
      </c>
      <c r="K9" s="37">
        <f>COUNTIF(Vertices[Betweenness Centrality],"&gt;= "&amp;J9)-COUNTIF(Vertices[Betweenness Centrality],"&gt;="&amp;J10)</f>
        <v>0</v>
      </c>
      <c r="L9" s="36">
        <f t="shared" si="5"/>
        <v>0.04408023529411765</v>
      </c>
      <c r="M9" s="37">
        <f>COUNTIF(Vertices[Closeness Centrality],"&gt;= "&amp;L9)-COUNTIF(Vertices[Closeness Centrality],"&gt;="&amp;L10)</f>
        <v>39</v>
      </c>
      <c r="N9" s="36">
        <f t="shared" si="6"/>
        <v>0.14915414705882352</v>
      </c>
      <c r="O9" s="37">
        <f>COUNTIF(Vertices[Eigenvector Centrality],"&gt;= "&amp;N9)-COUNTIF(Vertices[Eigenvector Centrality],"&gt;="&amp;N10)</f>
        <v>0</v>
      </c>
      <c r="P9" s="36">
        <f t="shared" si="7"/>
        <v>0.00836329411764706</v>
      </c>
      <c r="Q9" s="37">
        <f>COUNTIF(Vertices[PageRank],"&gt;= "&amp;P9)-COUNTIF(Vertices[PageRank],"&gt;="&amp;P10)</f>
        <v>0</v>
      </c>
      <c r="R9" s="36">
        <f t="shared" si="8"/>
        <v>0</v>
      </c>
      <c r="S9" s="41">
        <f>COUNTIF(Vertices[Clustering Coefficient],"&gt;= "&amp;R9)-COUNTIF(Vertices[Clustering Coefficient],"&gt;="&amp;R10)</f>
        <v>0</v>
      </c>
      <c r="T9" s="36" t="e">
        <f ca="1" t="shared" si="9"/>
        <v>#REF!</v>
      </c>
      <c r="U9" s="37" t="e">
        <f ca="1" t="shared" si="0"/>
        <v>#REF!</v>
      </c>
    </row>
    <row r="10" spans="1:21" ht="15">
      <c r="A10" s="31" t="s">
        <v>2826</v>
      </c>
      <c r="B10" s="31">
        <v>1</v>
      </c>
      <c r="D10" s="29">
        <f t="shared" si="1"/>
        <v>0</v>
      </c>
      <c r="E10">
        <f>COUNTIF(Vertices[Degree],"&gt;= "&amp;D10)-COUNTIF(Vertices[Degree],"&gt;="&amp;D11)</f>
        <v>0</v>
      </c>
      <c r="F10" s="34">
        <f t="shared" si="2"/>
        <v>23.764705882352942</v>
      </c>
      <c r="G10" s="35">
        <f>COUNTIF(Vertices[In-Degree],"&gt;= "&amp;F10)-COUNTIF(Vertices[In-Degree],"&gt;="&amp;F11)</f>
        <v>1</v>
      </c>
      <c r="H10" s="34">
        <f t="shared" si="3"/>
        <v>1.235294117647058</v>
      </c>
      <c r="I10" s="35">
        <f>COUNTIF(Vertices[Out-Degree],"&gt;= "&amp;H10)-COUNTIF(Vertices[Out-Degree],"&gt;="&amp;H11)</f>
        <v>0</v>
      </c>
      <c r="J10" s="34">
        <f t="shared" si="4"/>
        <v>3261.1764705882347</v>
      </c>
      <c r="K10" s="35">
        <f>COUNTIF(Vertices[Betweenness Centrality],"&gt;= "&amp;J10)-COUNTIF(Vertices[Betweenness Centrality],"&gt;="&amp;J11)</f>
        <v>0</v>
      </c>
      <c r="L10" s="34">
        <f t="shared" si="5"/>
        <v>0.050377411764705886</v>
      </c>
      <c r="M10" s="35">
        <f>COUNTIF(Vertices[Closeness Centrality],"&gt;= "&amp;L10)-COUNTIF(Vertices[Closeness Centrality],"&gt;="&amp;L11)</f>
        <v>0</v>
      </c>
      <c r="N10" s="34">
        <f t="shared" si="6"/>
        <v>0.17046188235294116</v>
      </c>
      <c r="O10" s="35">
        <f>COUNTIF(Vertices[Eigenvector Centrality],"&gt;= "&amp;N10)-COUNTIF(Vertices[Eigenvector Centrality],"&gt;="&amp;N11)</f>
        <v>0</v>
      </c>
      <c r="P10" s="34">
        <f t="shared" si="7"/>
        <v>0.009264764705882354</v>
      </c>
      <c r="Q10" s="35">
        <f>COUNTIF(Vertices[PageRank],"&gt;= "&amp;P10)-COUNTIF(Vertices[PageRank],"&gt;="&amp;P11)</f>
        <v>2</v>
      </c>
      <c r="R10" s="34">
        <f t="shared" si="8"/>
        <v>0</v>
      </c>
      <c r="S10" s="40">
        <f>COUNTIF(Vertices[Clustering Coefficient],"&gt;= "&amp;R10)-COUNTIF(Vertices[Clustering Coefficient],"&gt;="&amp;R11)</f>
        <v>0</v>
      </c>
      <c r="T10" s="34" t="e">
        <f ca="1" t="shared" si="9"/>
        <v>#REF!</v>
      </c>
      <c r="U10" s="35" t="e">
        <f ca="1" t="shared" si="0"/>
        <v>#REF!</v>
      </c>
    </row>
    <row r="11" spans="1:21" ht="15">
      <c r="A11" s="109"/>
      <c r="B11" s="109"/>
      <c r="D11" s="29">
        <f t="shared" si="1"/>
        <v>0</v>
      </c>
      <c r="E11">
        <f>COUNTIF(Vertices[Degree],"&gt;= "&amp;D11)-COUNTIF(Vertices[Degree],"&gt;="&amp;D12)</f>
        <v>0</v>
      </c>
      <c r="F11" s="36">
        <f t="shared" si="2"/>
        <v>26.735294117647058</v>
      </c>
      <c r="G11" s="37">
        <f>COUNTIF(Vertices[In-Degree],"&gt;= "&amp;F11)-COUNTIF(Vertices[In-Degree],"&gt;="&amp;F12)</f>
        <v>1</v>
      </c>
      <c r="H11" s="36">
        <f t="shared" si="3"/>
        <v>1.2647058823529402</v>
      </c>
      <c r="I11" s="37">
        <f>COUNTIF(Vertices[Out-Degree],"&gt;= "&amp;H11)-COUNTIF(Vertices[Out-Degree],"&gt;="&amp;H12)</f>
        <v>0</v>
      </c>
      <c r="J11" s="36">
        <f t="shared" si="4"/>
        <v>3668.823529411764</v>
      </c>
      <c r="K11" s="37">
        <f>COUNTIF(Vertices[Betweenness Centrality],"&gt;= "&amp;J11)-COUNTIF(Vertices[Betweenness Centrality],"&gt;="&amp;J12)</f>
        <v>1</v>
      </c>
      <c r="L11" s="36">
        <f t="shared" si="5"/>
        <v>0.05667458823529412</v>
      </c>
      <c r="M11" s="37">
        <f>COUNTIF(Vertices[Closeness Centrality],"&gt;= "&amp;L11)-COUNTIF(Vertices[Closeness Centrality],"&gt;="&amp;L12)</f>
        <v>2</v>
      </c>
      <c r="N11" s="36">
        <f t="shared" si="6"/>
        <v>0.1917696176470588</v>
      </c>
      <c r="O11" s="37">
        <f>COUNTIF(Vertices[Eigenvector Centrality],"&gt;= "&amp;N11)-COUNTIF(Vertices[Eigenvector Centrality],"&gt;="&amp;N12)</f>
        <v>0</v>
      </c>
      <c r="P11" s="36">
        <f t="shared" si="7"/>
        <v>0.010166235294117648</v>
      </c>
      <c r="Q11" s="37">
        <f>COUNTIF(Vertices[PageRank],"&gt;= "&amp;P11)-COUNTIF(Vertices[PageRank],"&gt;="&amp;P12)</f>
        <v>0</v>
      </c>
      <c r="R11" s="36">
        <f t="shared" si="8"/>
        <v>0</v>
      </c>
      <c r="S11" s="41">
        <f>COUNTIF(Vertices[Clustering Coefficient],"&gt;= "&amp;R11)-COUNTIF(Vertices[Clustering Coefficient],"&gt;="&amp;R12)</f>
        <v>0</v>
      </c>
      <c r="T11" s="36" t="e">
        <f ca="1" t="shared" si="9"/>
        <v>#REF!</v>
      </c>
      <c r="U11" s="37" t="e">
        <f ca="1" t="shared" si="0"/>
        <v>#REF!</v>
      </c>
    </row>
    <row r="12" spans="1:21" ht="15">
      <c r="A12" s="31" t="s">
        <v>215</v>
      </c>
      <c r="B12" s="31">
        <v>414</v>
      </c>
      <c r="D12" s="29">
        <f t="shared" si="1"/>
        <v>0</v>
      </c>
      <c r="E12">
        <f>COUNTIF(Vertices[Degree],"&gt;= "&amp;D12)-COUNTIF(Vertices[Degree],"&gt;="&amp;D13)</f>
        <v>0</v>
      </c>
      <c r="F12" s="34">
        <f t="shared" si="2"/>
        <v>29.705882352941174</v>
      </c>
      <c r="G12" s="35">
        <f>COUNTIF(Vertices[In-Degree],"&gt;= "&amp;F12)-COUNTIF(Vertices[In-Degree],"&gt;="&amp;F13)</f>
        <v>0</v>
      </c>
      <c r="H12" s="34">
        <f t="shared" si="3"/>
        <v>1.2941176470588225</v>
      </c>
      <c r="I12" s="35">
        <f>COUNTIF(Vertices[Out-Degree],"&gt;= "&amp;H12)-COUNTIF(Vertices[Out-Degree],"&gt;="&amp;H13)</f>
        <v>0</v>
      </c>
      <c r="J12" s="34">
        <f t="shared" si="4"/>
        <v>4076.4705882352932</v>
      </c>
      <c r="K12" s="35">
        <f>COUNTIF(Vertices[Betweenness Centrality],"&gt;= "&amp;J12)-COUNTIF(Vertices[Betweenness Centrality],"&gt;="&amp;J13)</f>
        <v>1</v>
      </c>
      <c r="L12" s="34">
        <f t="shared" si="5"/>
        <v>0.06297176470588235</v>
      </c>
      <c r="M12" s="35">
        <f>COUNTIF(Vertices[Closeness Centrality],"&gt;= "&amp;L12)-COUNTIF(Vertices[Closeness Centrality],"&gt;="&amp;L13)</f>
        <v>0</v>
      </c>
      <c r="N12" s="34">
        <f t="shared" si="6"/>
        <v>0.21307735294117644</v>
      </c>
      <c r="O12" s="35">
        <f>COUNTIF(Vertices[Eigenvector Centrality],"&gt;= "&amp;N12)-COUNTIF(Vertices[Eigenvector Centrality],"&gt;="&amp;N13)</f>
        <v>0</v>
      </c>
      <c r="P12" s="34">
        <f t="shared" si="7"/>
        <v>0.011067705882352941</v>
      </c>
      <c r="Q12" s="35">
        <f>COUNTIF(Vertices[PageRank],"&gt;= "&amp;P12)-COUNTIF(Vertices[PageRank],"&gt;="&amp;P13)</f>
        <v>0</v>
      </c>
      <c r="R12" s="34">
        <f t="shared" si="8"/>
        <v>0</v>
      </c>
      <c r="S12" s="40">
        <f>COUNTIF(Vertices[Clustering Coefficient],"&gt;= "&amp;R12)-COUNTIF(Vertices[Clustering Coefficient],"&gt;="&amp;R13)</f>
        <v>0</v>
      </c>
      <c r="T12" s="34" t="e">
        <f ca="1" t="shared" si="9"/>
        <v>#REF!</v>
      </c>
      <c r="U12" s="35" t="e">
        <f ca="1" t="shared" si="0"/>
        <v>#REF!</v>
      </c>
    </row>
    <row r="13" spans="1:21" ht="15">
      <c r="A13" s="109"/>
      <c r="B13" s="109"/>
      <c r="D13" s="29">
        <f t="shared" si="1"/>
        <v>0</v>
      </c>
      <c r="E13">
        <f>COUNTIF(Vertices[Degree],"&gt;= "&amp;D13)-COUNTIF(Vertices[Degree],"&gt;="&amp;D14)</f>
        <v>0</v>
      </c>
      <c r="F13" s="36">
        <f t="shared" si="2"/>
        <v>32.67647058823529</v>
      </c>
      <c r="G13" s="37">
        <f>COUNTIF(Vertices[In-Degree],"&gt;= "&amp;F13)-COUNTIF(Vertices[In-Degree],"&gt;="&amp;F14)</f>
        <v>0</v>
      </c>
      <c r="H13" s="36">
        <f t="shared" si="3"/>
        <v>1.3235294117647047</v>
      </c>
      <c r="I13" s="37">
        <f>COUNTIF(Vertices[Out-Degree],"&gt;= "&amp;H13)-COUNTIF(Vertices[Out-Degree],"&gt;="&amp;H14)</f>
        <v>0</v>
      </c>
      <c r="J13" s="36">
        <f t="shared" si="4"/>
        <v>4484.1176470588225</v>
      </c>
      <c r="K13" s="37">
        <f>COUNTIF(Vertices[Betweenness Centrality],"&gt;= "&amp;J13)-COUNTIF(Vertices[Betweenness Centrality],"&gt;="&amp;J14)</f>
        <v>0</v>
      </c>
      <c r="L13" s="36">
        <f t="shared" si="5"/>
        <v>0.06926894117647059</v>
      </c>
      <c r="M13" s="37">
        <f>COUNTIF(Vertices[Closeness Centrality],"&gt;= "&amp;L13)-COUNTIF(Vertices[Closeness Centrality],"&gt;="&amp;L14)</f>
        <v>0</v>
      </c>
      <c r="N13" s="36">
        <f t="shared" si="6"/>
        <v>0.23438508823529408</v>
      </c>
      <c r="O13" s="37">
        <f>COUNTIF(Vertices[Eigenvector Centrality],"&gt;= "&amp;N13)-COUNTIF(Vertices[Eigenvector Centrality],"&gt;="&amp;N14)</f>
        <v>0</v>
      </c>
      <c r="P13" s="36">
        <f t="shared" si="7"/>
        <v>0.011969176470588235</v>
      </c>
      <c r="Q13" s="37">
        <f>COUNTIF(Vertices[PageRank],"&gt;= "&amp;P13)-COUNTIF(Vertices[PageRank],"&gt;="&amp;P14)</f>
        <v>0</v>
      </c>
      <c r="R13" s="36">
        <f t="shared" si="8"/>
        <v>0</v>
      </c>
      <c r="S13" s="41">
        <f>COUNTIF(Vertices[Clustering Coefficient],"&gt;= "&amp;R13)-COUNTIF(Vertices[Clustering Coefficient],"&gt;="&amp;R14)</f>
        <v>0</v>
      </c>
      <c r="T13" s="36" t="e">
        <f ca="1" t="shared" si="9"/>
        <v>#REF!</v>
      </c>
      <c r="U13" s="37" t="e">
        <f ca="1" t="shared" si="0"/>
        <v>#REF!</v>
      </c>
    </row>
    <row r="14" spans="1:21" ht="15">
      <c r="A14" s="31" t="s">
        <v>151</v>
      </c>
      <c r="B14" s="31">
        <v>92</v>
      </c>
      <c r="D14" s="29">
        <f t="shared" si="1"/>
        <v>0</v>
      </c>
      <c r="E14">
        <f>COUNTIF(Vertices[Degree],"&gt;= "&amp;D14)-COUNTIF(Vertices[Degree],"&gt;="&amp;D15)</f>
        <v>0</v>
      </c>
      <c r="F14" s="34">
        <f t="shared" si="2"/>
        <v>35.647058823529406</v>
      </c>
      <c r="G14" s="35">
        <f>COUNTIF(Vertices[In-Degree],"&gt;= "&amp;F14)-COUNTIF(Vertices[In-Degree],"&gt;="&amp;F15)</f>
        <v>0</v>
      </c>
      <c r="H14" s="34">
        <f t="shared" si="3"/>
        <v>1.352941176470587</v>
      </c>
      <c r="I14" s="35">
        <f>COUNTIF(Vertices[Out-Degree],"&gt;= "&amp;H14)-COUNTIF(Vertices[Out-Degree],"&gt;="&amp;H15)</f>
        <v>0</v>
      </c>
      <c r="J14" s="34">
        <f t="shared" si="4"/>
        <v>4891.764705882352</v>
      </c>
      <c r="K14" s="35">
        <f>COUNTIF(Vertices[Betweenness Centrality],"&gt;= "&amp;J14)-COUNTIF(Vertices[Betweenness Centrality],"&gt;="&amp;J15)</f>
        <v>0</v>
      </c>
      <c r="L14" s="34">
        <f t="shared" si="5"/>
        <v>0.07556611764705883</v>
      </c>
      <c r="M14" s="35">
        <f>COUNTIF(Vertices[Closeness Centrality],"&gt;= "&amp;L14)-COUNTIF(Vertices[Closeness Centrality],"&gt;="&amp;L15)</f>
        <v>19</v>
      </c>
      <c r="N14" s="34">
        <f t="shared" si="6"/>
        <v>0.25569282352941175</v>
      </c>
      <c r="O14" s="35">
        <f>COUNTIF(Vertices[Eigenvector Centrality],"&gt;= "&amp;N14)-COUNTIF(Vertices[Eigenvector Centrality],"&gt;="&amp;N15)</f>
        <v>0</v>
      </c>
      <c r="P14" s="34">
        <f t="shared" si="7"/>
        <v>0.012870647058823528</v>
      </c>
      <c r="Q14" s="35">
        <f>COUNTIF(Vertices[PageRank],"&gt;= "&amp;P14)-COUNTIF(Vertices[PageRank],"&gt;="&amp;P15)</f>
        <v>0</v>
      </c>
      <c r="R14" s="34">
        <f t="shared" si="8"/>
        <v>0</v>
      </c>
      <c r="S14" s="40">
        <f>COUNTIF(Vertices[Clustering Coefficient],"&gt;= "&amp;R14)-COUNTIF(Vertices[Clustering Coefficient],"&gt;="&amp;R15)</f>
        <v>0</v>
      </c>
      <c r="T14" s="34" t="e">
        <f ca="1" t="shared" si="9"/>
        <v>#REF!</v>
      </c>
      <c r="U14" s="35" t="e">
        <f ca="1" t="shared" si="0"/>
        <v>#REF!</v>
      </c>
    </row>
    <row r="15" spans="1:21" ht="15">
      <c r="A15" s="109"/>
      <c r="B15" s="109"/>
      <c r="D15" s="29">
        <f t="shared" si="1"/>
        <v>0</v>
      </c>
      <c r="E15">
        <f>COUNTIF(Vertices[Degree],"&gt;= "&amp;D15)-COUNTIF(Vertices[Degree],"&gt;="&amp;D16)</f>
        <v>0</v>
      </c>
      <c r="F15" s="36">
        <f t="shared" si="2"/>
        <v>38.61764705882352</v>
      </c>
      <c r="G15" s="37">
        <f>COUNTIF(Vertices[In-Degree],"&gt;= "&amp;F15)-COUNTIF(Vertices[In-Degree],"&gt;="&amp;F16)</f>
        <v>1</v>
      </c>
      <c r="H15" s="36">
        <f t="shared" si="3"/>
        <v>1.3823529411764692</v>
      </c>
      <c r="I15" s="37">
        <f>COUNTIF(Vertices[Out-Degree],"&gt;= "&amp;H15)-COUNTIF(Vertices[Out-Degree],"&gt;="&amp;H16)</f>
        <v>0</v>
      </c>
      <c r="J15" s="36">
        <f t="shared" si="4"/>
        <v>5299.411764705882</v>
      </c>
      <c r="K15" s="37">
        <f>COUNTIF(Vertices[Betweenness Centrality],"&gt;= "&amp;J15)-COUNTIF(Vertices[Betweenness Centrality],"&gt;="&amp;J16)</f>
        <v>0</v>
      </c>
      <c r="L15" s="36">
        <f t="shared" si="5"/>
        <v>0.08186329411764706</v>
      </c>
      <c r="M15" s="37">
        <f>COUNTIF(Vertices[Closeness Centrality],"&gt;= "&amp;L15)-COUNTIF(Vertices[Closeness Centrality],"&gt;="&amp;L16)</f>
        <v>0</v>
      </c>
      <c r="N15" s="36">
        <f t="shared" si="6"/>
        <v>0.2770005588235294</v>
      </c>
      <c r="O15" s="37">
        <f>COUNTIF(Vertices[Eigenvector Centrality],"&gt;= "&amp;N15)-COUNTIF(Vertices[Eigenvector Centrality],"&gt;="&amp;N16)</f>
        <v>0</v>
      </c>
      <c r="P15" s="36">
        <f t="shared" si="7"/>
        <v>0.013772117647058822</v>
      </c>
      <c r="Q15" s="37">
        <f>COUNTIF(Vertices[PageRank],"&gt;= "&amp;P15)-COUNTIF(Vertices[PageRank],"&gt;="&amp;P16)</f>
        <v>1</v>
      </c>
      <c r="R15" s="36">
        <f t="shared" si="8"/>
        <v>0</v>
      </c>
      <c r="S15" s="41">
        <f>COUNTIF(Vertices[Clustering Coefficient],"&gt;= "&amp;R15)-COUNTIF(Vertices[Clustering Coefficient],"&gt;="&amp;R16)</f>
        <v>0</v>
      </c>
      <c r="T15" s="36" t="e">
        <f ca="1" t="shared" si="9"/>
        <v>#REF!</v>
      </c>
      <c r="U15" s="37" t="e">
        <f ca="1" t="shared" si="0"/>
        <v>#REF!</v>
      </c>
    </row>
    <row r="16" spans="1:21" ht="15">
      <c r="A16" s="31" t="s">
        <v>170</v>
      </c>
      <c r="B16" s="31">
        <v>0</v>
      </c>
      <c r="D16" s="29">
        <f t="shared" si="1"/>
        <v>0</v>
      </c>
      <c r="E16">
        <f>COUNTIF(Vertices[Degree],"&gt;= "&amp;D16)-COUNTIF(Vertices[Degree],"&gt;="&amp;D17)</f>
        <v>0</v>
      </c>
      <c r="F16" s="34">
        <f t="shared" si="2"/>
        <v>41.58823529411764</v>
      </c>
      <c r="G16" s="35">
        <f>COUNTIF(Vertices[In-Degree],"&gt;= "&amp;F16)-COUNTIF(Vertices[In-Degree],"&gt;="&amp;F17)</f>
        <v>0</v>
      </c>
      <c r="H16" s="34">
        <f t="shared" si="3"/>
        <v>1.4117647058823515</v>
      </c>
      <c r="I16" s="35">
        <f>COUNTIF(Vertices[Out-Degree],"&gt;= "&amp;H16)-COUNTIF(Vertices[Out-Degree],"&gt;="&amp;H17)</f>
        <v>0</v>
      </c>
      <c r="J16" s="34">
        <f t="shared" si="4"/>
        <v>5707.058823529412</v>
      </c>
      <c r="K16" s="35">
        <f>COUNTIF(Vertices[Betweenness Centrality],"&gt;= "&amp;J16)-COUNTIF(Vertices[Betweenness Centrality],"&gt;="&amp;J17)</f>
        <v>0</v>
      </c>
      <c r="L16" s="34">
        <f t="shared" si="5"/>
        <v>0.0881604705882353</v>
      </c>
      <c r="M16" s="35">
        <f>COUNTIF(Vertices[Closeness Centrality],"&gt;= "&amp;L16)-COUNTIF(Vertices[Closeness Centrality],"&gt;="&amp;L17)</f>
        <v>1</v>
      </c>
      <c r="N16" s="34">
        <f t="shared" si="6"/>
        <v>0.2983082941176471</v>
      </c>
      <c r="O16" s="35">
        <f>COUNTIF(Vertices[Eigenvector Centrality],"&gt;= "&amp;N16)-COUNTIF(Vertices[Eigenvector Centrality],"&gt;="&amp;N17)</f>
        <v>0</v>
      </c>
      <c r="P16" s="34">
        <f t="shared" si="7"/>
        <v>0.014673588235294115</v>
      </c>
      <c r="Q16" s="35">
        <f>COUNTIF(Vertices[PageRank],"&gt;= "&amp;P16)-COUNTIF(Vertices[PageRank],"&gt;="&amp;P17)</f>
        <v>0</v>
      </c>
      <c r="R16" s="34">
        <f t="shared" si="8"/>
        <v>0</v>
      </c>
      <c r="S16" s="40">
        <f>COUNTIF(Vertices[Clustering Coefficient],"&gt;= "&amp;R16)-COUNTIF(Vertices[Clustering Coefficient],"&gt;="&amp;R17)</f>
        <v>0</v>
      </c>
      <c r="T16" s="34" t="e">
        <f ca="1" t="shared" si="9"/>
        <v>#REF!</v>
      </c>
      <c r="U16" s="35" t="e">
        <f ca="1" t="shared" si="0"/>
        <v>#REF!</v>
      </c>
    </row>
    <row r="17" spans="1:21" ht="15">
      <c r="A17" s="31" t="s">
        <v>171</v>
      </c>
      <c r="B17" s="31">
        <v>0</v>
      </c>
      <c r="D17" s="29">
        <f t="shared" si="1"/>
        <v>0</v>
      </c>
      <c r="E17">
        <f>COUNTIF(Vertices[Degree],"&gt;= "&amp;D17)-COUNTIF(Vertices[Degree],"&gt;="&amp;D18)</f>
        <v>0</v>
      </c>
      <c r="F17" s="36">
        <f t="shared" si="2"/>
        <v>44.558823529411754</v>
      </c>
      <c r="G17" s="37">
        <f>COUNTIF(Vertices[In-Degree],"&gt;= "&amp;F17)-COUNTIF(Vertices[In-Degree],"&gt;="&amp;F18)</f>
        <v>0</v>
      </c>
      <c r="H17" s="36">
        <f t="shared" si="3"/>
        <v>1.4411764705882337</v>
      </c>
      <c r="I17" s="37">
        <f>COUNTIF(Vertices[Out-Degree],"&gt;= "&amp;H17)-COUNTIF(Vertices[Out-Degree],"&gt;="&amp;H18)</f>
        <v>0</v>
      </c>
      <c r="J17" s="36">
        <f t="shared" si="4"/>
        <v>6114.705882352941</v>
      </c>
      <c r="K17" s="37">
        <f>COUNTIF(Vertices[Betweenness Centrality],"&gt;= "&amp;J17)-COUNTIF(Vertices[Betweenness Centrality],"&gt;="&amp;J18)</f>
        <v>1</v>
      </c>
      <c r="L17" s="36">
        <f t="shared" si="5"/>
        <v>0.09445764705882354</v>
      </c>
      <c r="M17" s="37">
        <f>COUNTIF(Vertices[Closeness Centrality],"&gt;= "&amp;L17)-COUNTIF(Vertices[Closeness Centrality],"&gt;="&amp;L18)</f>
        <v>81</v>
      </c>
      <c r="N17" s="36">
        <f t="shared" si="6"/>
        <v>0.31961602941176476</v>
      </c>
      <c r="O17" s="37">
        <f>COUNTIF(Vertices[Eigenvector Centrality],"&gt;= "&amp;N17)-COUNTIF(Vertices[Eigenvector Centrality],"&gt;="&amp;N18)</f>
        <v>0</v>
      </c>
      <c r="P17" s="36">
        <f t="shared" si="7"/>
        <v>0.015575058823529409</v>
      </c>
      <c r="Q17" s="37">
        <f>COUNTIF(Vertices[PageRank],"&gt;= "&amp;P17)-COUNTIF(Vertices[PageRank],"&gt;="&amp;P18)</f>
        <v>0</v>
      </c>
      <c r="R17" s="36">
        <f t="shared" si="8"/>
        <v>0</v>
      </c>
      <c r="S17" s="41">
        <f>COUNTIF(Vertices[Clustering Coefficient],"&gt;= "&amp;R17)-COUNTIF(Vertices[Clustering Coefficient],"&gt;="&amp;R18)</f>
        <v>0</v>
      </c>
      <c r="T17" s="36" t="e">
        <f ca="1" t="shared" si="9"/>
        <v>#REF!</v>
      </c>
      <c r="U17" s="37" t="e">
        <f ca="1" t="shared" si="0"/>
        <v>#REF!</v>
      </c>
    </row>
    <row r="18" spans="1:21" ht="15">
      <c r="A18" s="109"/>
      <c r="B18" s="109"/>
      <c r="D18" s="29">
        <f t="shared" si="1"/>
        <v>0</v>
      </c>
      <c r="E18">
        <f>COUNTIF(Vertices[Degree],"&gt;= "&amp;D18)-COUNTIF(Vertices[Degree],"&gt;="&amp;D19)</f>
        <v>0</v>
      </c>
      <c r="F18" s="34">
        <f t="shared" si="2"/>
        <v>47.52941176470587</v>
      </c>
      <c r="G18" s="35">
        <f>COUNTIF(Vertices[In-Degree],"&gt;= "&amp;F18)-COUNTIF(Vertices[In-Degree],"&gt;="&amp;F19)</f>
        <v>0</v>
      </c>
      <c r="H18" s="34">
        <f t="shared" si="3"/>
        <v>1.470588235294116</v>
      </c>
      <c r="I18" s="35">
        <f>COUNTIF(Vertices[Out-Degree],"&gt;= "&amp;H18)-COUNTIF(Vertices[Out-Degree],"&gt;="&amp;H19)</f>
        <v>0</v>
      </c>
      <c r="J18" s="34">
        <f t="shared" si="4"/>
        <v>6522.352941176471</v>
      </c>
      <c r="K18" s="35">
        <f>COUNTIF(Vertices[Betweenness Centrality],"&gt;= "&amp;J18)-COUNTIF(Vertices[Betweenness Centrality],"&gt;="&amp;J19)</f>
        <v>0</v>
      </c>
      <c r="L18" s="34">
        <f t="shared" si="5"/>
        <v>0.10075482352941177</v>
      </c>
      <c r="M18" s="35">
        <f>COUNTIF(Vertices[Closeness Centrality],"&gt;= "&amp;L18)-COUNTIF(Vertices[Closeness Centrality],"&gt;="&amp;L19)</f>
        <v>1</v>
      </c>
      <c r="N18" s="34">
        <f t="shared" si="6"/>
        <v>0.3409237647058824</v>
      </c>
      <c r="O18" s="35">
        <f>COUNTIF(Vertices[Eigenvector Centrality],"&gt;= "&amp;N18)-COUNTIF(Vertices[Eigenvector Centrality],"&gt;="&amp;N19)</f>
        <v>0</v>
      </c>
      <c r="P18" s="34">
        <f t="shared" si="7"/>
        <v>0.016476529411764702</v>
      </c>
      <c r="Q18" s="35">
        <f>COUNTIF(Vertices[PageRank],"&gt;= "&amp;P18)-COUNTIF(Vertices[PageRank],"&gt;="&amp;P19)</f>
        <v>0</v>
      </c>
      <c r="R18" s="34">
        <f t="shared" si="8"/>
        <v>0</v>
      </c>
      <c r="S18" s="40">
        <f>COUNTIF(Vertices[Clustering Coefficient],"&gt;= "&amp;R18)-COUNTIF(Vertices[Clustering Coefficient],"&gt;="&amp;R19)</f>
        <v>0</v>
      </c>
      <c r="T18" s="34" t="e">
        <f ca="1" t="shared" si="9"/>
        <v>#REF!</v>
      </c>
      <c r="U18" s="35" t="e">
        <f ca="1" t="shared" si="0"/>
        <v>#REF!</v>
      </c>
    </row>
    <row r="19" spans="1:21" ht="15">
      <c r="A19" s="31" t="s">
        <v>152</v>
      </c>
      <c r="B19" s="31">
        <v>42</v>
      </c>
      <c r="D19" s="29">
        <f t="shared" si="1"/>
        <v>0</v>
      </c>
      <c r="E19">
        <f>COUNTIF(Vertices[Degree],"&gt;= "&amp;D19)-COUNTIF(Vertices[Degree],"&gt;="&amp;D20)</f>
        <v>0</v>
      </c>
      <c r="F19" s="36">
        <f t="shared" si="2"/>
        <v>50.499999999999986</v>
      </c>
      <c r="G19" s="37">
        <f>COUNTIF(Vertices[In-Degree],"&gt;= "&amp;F19)-COUNTIF(Vertices[In-Degree],"&gt;="&amp;F20)</f>
        <v>0</v>
      </c>
      <c r="H19" s="36">
        <f t="shared" si="3"/>
        <v>1.4999999999999982</v>
      </c>
      <c r="I19" s="37">
        <f>COUNTIF(Vertices[Out-Degree],"&gt;= "&amp;H19)-COUNTIF(Vertices[Out-Degree],"&gt;="&amp;H20)</f>
        <v>0</v>
      </c>
      <c r="J19" s="36">
        <f t="shared" si="4"/>
        <v>6930.000000000001</v>
      </c>
      <c r="K19" s="37">
        <f>COUNTIF(Vertices[Betweenness Centrality],"&gt;= "&amp;J19)-COUNTIF(Vertices[Betweenness Centrality],"&gt;="&amp;J20)</f>
        <v>0</v>
      </c>
      <c r="L19" s="36">
        <f t="shared" si="5"/>
        <v>0.10705200000000001</v>
      </c>
      <c r="M19" s="37">
        <f>COUNTIF(Vertices[Closeness Centrality],"&gt;= "&amp;L19)-COUNTIF(Vertices[Closeness Centrality],"&gt;="&amp;L20)</f>
        <v>0</v>
      </c>
      <c r="N19" s="36">
        <f t="shared" si="6"/>
        <v>0.3622315000000001</v>
      </c>
      <c r="O19" s="37">
        <f>COUNTIF(Vertices[Eigenvector Centrality],"&gt;= "&amp;N19)-COUNTIF(Vertices[Eigenvector Centrality],"&gt;="&amp;N20)</f>
        <v>0</v>
      </c>
      <c r="P19" s="36">
        <f t="shared" si="7"/>
        <v>0.017377999999999998</v>
      </c>
      <c r="Q19" s="37">
        <f>COUNTIF(Vertices[PageRank],"&gt;= "&amp;P19)-COUNTIF(Vertices[PageRank],"&gt;="&amp;P20)</f>
        <v>0</v>
      </c>
      <c r="R19" s="36">
        <f t="shared" si="8"/>
        <v>0</v>
      </c>
      <c r="S19" s="41">
        <f>COUNTIF(Vertices[Clustering Coefficient],"&gt;= "&amp;R19)-COUNTIF(Vertices[Clustering Coefficient],"&gt;="&amp;R20)</f>
        <v>0</v>
      </c>
      <c r="T19" s="36" t="e">
        <f ca="1" t="shared" si="9"/>
        <v>#REF!</v>
      </c>
      <c r="U19" s="37" t="e">
        <f ca="1" t="shared" si="0"/>
        <v>#REF!</v>
      </c>
    </row>
    <row r="20" spans="1:21" ht="15">
      <c r="A20" s="31" t="s">
        <v>153</v>
      </c>
      <c r="B20" s="31">
        <v>22</v>
      </c>
      <c r="D20" s="29">
        <f t="shared" si="1"/>
        <v>0</v>
      </c>
      <c r="E20">
        <f>COUNTIF(Vertices[Degree],"&gt;= "&amp;D20)-COUNTIF(Vertices[Degree],"&gt;="&amp;D21)</f>
        <v>0</v>
      </c>
      <c r="F20" s="34">
        <f t="shared" si="2"/>
        <v>53.4705882352941</v>
      </c>
      <c r="G20" s="35">
        <f>COUNTIF(Vertices[In-Degree],"&gt;= "&amp;F20)-COUNTIF(Vertices[In-Degree],"&gt;="&amp;F21)</f>
        <v>0</v>
      </c>
      <c r="H20" s="34">
        <f t="shared" si="3"/>
        <v>1.5294117647058805</v>
      </c>
      <c r="I20" s="35">
        <f>COUNTIF(Vertices[Out-Degree],"&gt;= "&amp;H20)-COUNTIF(Vertices[Out-Degree],"&gt;="&amp;H21)</f>
        <v>0</v>
      </c>
      <c r="J20" s="34">
        <f t="shared" si="4"/>
        <v>7337.647058823531</v>
      </c>
      <c r="K20" s="35">
        <f>COUNTIF(Vertices[Betweenness Centrality],"&gt;= "&amp;J20)-COUNTIF(Vertices[Betweenness Centrality],"&gt;="&amp;J21)</f>
        <v>0</v>
      </c>
      <c r="L20" s="34">
        <f t="shared" si="5"/>
        <v>0.11334917647058824</v>
      </c>
      <c r="M20" s="35">
        <f>COUNTIF(Vertices[Closeness Centrality],"&gt;= "&amp;L20)-COUNTIF(Vertices[Closeness Centrality],"&gt;="&amp;L21)</f>
        <v>0</v>
      </c>
      <c r="N20" s="34">
        <f t="shared" si="6"/>
        <v>0.38353923529411776</v>
      </c>
      <c r="O20" s="35">
        <f>COUNTIF(Vertices[Eigenvector Centrality],"&gt;= "&amp;N20)-COUNTIF(Vertices[Eigenvector Centrality],"&gt;="&amp;N21)</f>
        <v>0</v>
      </c>
      <c r="P20" s="34">
        <f t="shared" si="7"/>
        <v>0.018279470588235293</v>
      </c>
      <c r="Q20" s="35">
        <f>COUNTIF(Vertices[PageRank],"&gt;= "&amp;P20)-COUNTIF(Vertices[PageRank],"&gt;="&amp;P21)</f>
        <v>0</v>
      </c>
      <c r="R20" s="34">
        <f t="shared" si="8"/>
        <v>0</v>
      </c>
      <c r="S20" s="40">
        <f>COUNTIF(Vertices[Clustering Coefficient],"&gt;= "&amp;R20)-COUNTIF(Vertices[Clustering Coefficient],"&gt;="&amp;R21)</f>
        <v>0</v>
      </c>
      <c r="T20" s="34" t="e">
        <f ca="1" t="shared" si="9"/>
        <v>#REF!</v>
      </c>
      <c r="U20" s="35" t="e">
        <f ca="1" t="shared" si="0"/>
        <v>#REF!</v>
      </c>
    </row>
    <row r="21" spans="1:21" ht="15">
      <c r="A21" s="31" t="s">
        <v>154</v>
      </c>
      <c r="B21" s="31">
        <v>121</v>
      </c>
      <c r="D21" s="29">
        <f t="shared" si="1"/>
        <v>0</v>
      </c>
      <c r="E21">
        <f>COUNTIF(Vertices[Degree],"&gt;= "&amp;D21)-COUNTIF(Vertices[Degree],"&gt;="&amp;D22)</f>
        <v>0</v>
      </c>
      <c r="F21" s="36">
        <f t="shared" si="2"/>
        <v>56.44117647058822</v>
      </c>
      <c r="G21" s="37">
        <f>COUNTIF(Vertices[In-Degree],"&gt;= "&amp;F21)-COUNTIF(Vertices[In-Degree],"&gt;="&amp;F22)</f>
        <v>0</v>
      </c>
      <c r="H21" s="36">
        <f t="shared" si="3"/>
        <v>1.5588235294117627</v>
      </c>
      <c r="I21" s="37">
        <f>COUNTIF(Vertices[Out-Degree],"&gt;= "&amp;H21)-COUNTIF(Vertices[Out-Degree],"&gt;="&amp;H22)</f>
        <v>0</v>
      </c>
      <c r="J21" s="36">
        <f t="shared" si="4"/>
        <v>7745.29411764706</v>
      </c>
      <c r="K21" s="37">
        <f>COUNTIF(Vertices[Betweenness Centrality],"&gt;= "&amp;J21)-COUNTIF(Vertices[Betweenness Centrality],"&gt;="&amp;J22)</f>
        <v>0</v>
      </c>
      <c r="L21" s="36">
        <f t="shared" si="5"/>
        <v>0.11964635294117648</v>
      </c>
      <c r="M21" s="37">
        <f>COUNTIF(Vertices[Closeness Centrality],"&gt;= "&amp;L21)-COUNTIF(Vertices[Closeness Centrality],"&gt;="&amp;L22)</f>
        <v>99</v>
      </c>
      <c r="N21" s="36">
        <f t="shared" si="6"/>
        <v>0.40484697058823543</v>
      </c>
      <c r="O21" s="37">
        <f>COUNTIF(Vertices[Eigenvector Centrality],"&gt;= "&amp;N21)-COUNTIF(Vertices[Eigenvector Centrality],"&gt;="&amp;N22)</f>
        <v>0</v>
      </c>
      <c r="P21" s="36">
        <f t="shared" si="7"/>
        <v>0.019180941176470588</v>
      </c>
      <c r="Q21" s="37">
        <f>COUNTIF(Vertices[PageRank],"&gt;= "&amp;P21)-COUNTIF(Vertices[PageRank],"&gt;="&amp;P22)</f>
        <v>0</v>
      </c>
      <c r="R21" s="36">
        <f t="shared" si="8"/>
        <v>0</v>
      </c>
      <c r="S21" s="41">
        <f>COUNTIF(Vertices[Clustering Coefficient],"&gt;= "&amp;R21)-COUNTIF(Vertices[Clustering Coefficient],"&gt;="&amp;R22)</f>
        <v>0</v>
      </c>
      <c r="T21" s="36" t="e">
        <f ca="1" t="shared" si="9"/>
        <v>#REF!</v>
      </c>
      <c r="U21" s="37" t="e">
        <f ca="1" t="shared" si="0"/>
        <v>#REF!</v>
      </c>
    </row>
    <row r="22" spans="1:21" ht="15">
      <c r="A22" s="31" t="s">
        <v>155</v>
      </c>
      <c r="B22" s="31">
        <v>126</v>
      </c>
      <c r="D22" s="29">
        <f t="shared" si="1"/>
        <v>0</v>
      </c>
      <c r="E22">
        <f>COUNTIF(Vertices[Degree],"&gt;= "&amp;D22)-COUNTIF(Vertices[Degree],"&gt;="&amp;D23)</f>
        <v>0</v>
      </c>
      <c r="F22" s="34">
        <f t="shared" si="2"/>
        <v>59.411764705882334</v>
      </c>
      <c r="G22" s="35">
        <f>COUNTIF(Vertices[In-Degree],"&gt;= "&amp;F22)-COUNTIF(Vertices[In-Degree],"&gt;="&amp;F23)</f>
        <v>0</v>
      </c>
      <c r="H22" s="34">
        <f t="shared" si="3"/>
        <v>1.588235294117645</v>
      </c>
      <c r="I22" s="35">
        <f>COUNTIF(Vertices[Out-Degree],"&gt;= "&amp;H22)-COUNTIF(Vertices[Out-Degree],"&gt;="&amp;H23)</f>
        <v>0</v>
      </c>
      <c r="J22" s="34">
        <f t="shared" si="4"/>
        <v>8152.94117647059</v>
      </c>
      <c r="K22" s="35">
        <f>COUNTIF(Vertices[Betweenness Centrality],"&gt;= "&amp;J22)-COUNTIF(Vertices[Betweenness Centrality],"&gt;="&amp;J23)</f>
        <v>0</v>
      </c>
      <c r="L22" s="34">
        <f t="shared" si="5"/>
        <v>0.1259435294117647</v>
      </c>
      <c r="M22" s="35">
        <f>COUNTIF(Vertices[Closeness Centrality],"&gt;= "&amp;L22)-COUNTIF(Vertices[Closeness Centrality],"&gt;="&amp;L23)</f>
        <v>0</v>
      </c>
      <c r="N22" s="34">
        <f t="shared" si="6"/>
        <v>0.4261547058823531</v>
      </c>
      <c r="O22" s="35">
        <f>COUNTIF(Vertices[Eigenvector Centrality],"&gt;= "&amp;N22)-COUNTIF(Vertices[Eigenvector Centrality],"&gt;="&amp;N23)</f>
        <v>0</v>
      </c>
      <c r="P22" s="34">
        <f t="shared" si="7"/>
        <v>0.020082411764705883</v>
      </c>
      <c r="Q22" s="35">
        <f>COUNTIF(Vertices[PageRank],"&gt;= "&amp;P22)-COUNTIF(Vertices[PageRank],"&gt;="&amp;P23)</f>
        <v>0</v>
      </c>
      <c r="R22" s="34">
        <f t="shared" si="8"/>
        <v>0</v>
      </c>
      <c r="S22" s="40">
        <f>COUNTIF(Vertices[Clustering Coefficient],"&gt;= "&amp;R22)-COUNTIF(Vertices[Clustering Coefficient],"&gt;="&amp;R23)</f>
        <v>0</v>
      </c>
      <c r="T22" s="34" t="e">
        <f ca="1" t="shared" si="9"/>
        <v>#REF!</v>
      </c>
      <c r="U22" s="35" t="e">
        <f ca="1" t="shared" si="0"/>
        <v>#REF!</v>
      </c>
    </row>
    <row r="23" spans="1:21" ht="15">
      <c r="A23" s="109"/>
      <c r="B23" s="109"/>
      <c r="D23" s="29">
        <f t="shared" si="1"/>
        <v>0</v>
      </c>
      <c r="E23">
        <f>COUNTIF(Vertices[Degree],"&gt;= "&amp;D23)-COUNTIF(Vertices[Degree],"&gt;="&amp;D24)</f>
        <v>0</v>
      </c>
      <c r="F23" s="36">
        <f t="shared" si="2"/>
        <v>62.38235294117645</v>
      </c>
      <c r="G23" s="37">
        <f>COUNTIF(Vertices[In-Degree],"&gt;= "&amp;F23)-COUNTIF(Vertices[In-Degree],"&gt;="&amp;F24)</f>
        <v>0</v>
      </c>
      <c r="H23" s="36">
        <f t="shared" si="3"/>
        <v>1.6176470588235272</v>
      </c>
      <c r="I23" s="37">
        <f>COUNTIF(Vertices[Out-Degree],"&gt;= "&amp;H23)-COUNTIF(Vertices[Out-Degree],"&gt;="&amp;H24)</f>
        <v>0</v>
      </c>
      <c r="J23" s="36">
        <f t="shared" si="4"/>
        <v>8560.588235294119</v>
      </c>
      <c r="K23" s="37">
        <f>COUNTIF(Vertices[Betweenness Centrality],"&gt;= "&amp;J23)-COUNTIF(Vertices[Betweenness Centrality],"&gt;="&amp;J24)</f>
        <v>0</v>
      </c>
      <c r="L23" s="36">
        <f t="shared" si="5"/>
        <v>0.13224070588235293</v>
      </c>
      <c r="M23" s="37">
        <f>COUNTIF(Vertices[Closeness Centrality],"&gt;= "&amp;L23)-COUNTIF(Vertices[Closeness Centrality],"&gt;="&amp;L24)</f>
        <v>0</v>
      </c>
      <c r="N23" s="36">
        <f t="shared" si="6"/>
        <v>0.44746244117647077</v>
      </c>
      <c r="O23" s="37">
        <f>COUNTIF(Vertices[Eigenvector Centrality],"&gt;= "&amp;N23)-COUNTIF(Vertices[Eigenvector Centrality],"&gt;="&amp;N24)</f>
        <v>0</v>
      </c>
      <c r="P23" s="36">
        <f t="shared" si="7"/>
        <v>0.02098388235294118</v>
      </c>
      <c r="Q23" s="37">
        <f>COUNTIF(Vertices[PageRank],"&gt;= "&amp;P23)-COUNTIF(Vertices[PageRank],"&gt;="&amp;P24)</f>
        <v>0</v>
      </c>
      <c r="R23" s="36">
        <f t="shared" si="8"/>
        <v>0</v>
      </c>
      <c r="S23" s="41">
        <f>COUNTIF(Vertices[Clustering Coefficient],"&gt;= "&amp;R23)-COUNTIF(Vertices[Clustering Coefficient],"&gt;="&amp;R24)</f>
        <v>0</v>
      </c>
      <c r="T23" s="36" t="e">
        <f ca="1" t="shared" si="9"/>
        <v>#REF!</v>
      </c>
      <c r="U23" s="37" t="e">
        <f ca="1" t="shared" si="0"/>
        <v>#REF!</v>
      </c>
    </row>
    <row r="24" spans="1:21" ht="15">
      <c r="A24" s="31" t="s">
        <v>156</v>
      </c>
      <c r="B24" s="31">
        <v>4</v>
      </c>
      <c r="D24" s="29">
        <f t="shared" si="1"/>
        <v>0</v>
      </c>
      <c r="E24">
        <f>COUNTIF(Vertices[Degree],"&gt;= "&amp;D24)-COUNTIF(Vertices[Degree],"&gt;="&amp;D25)</f>
        <v>0</v>
      </c>
      <c r="F24" s="34">
        <f t="shared" si="2"/>
        <v>65.35294117647057</v>
      </c>
      <c r="G24" s="35">
        <f>COUNTIF(Vertices[In-Degree],"&gt;= "&amp;F24)-COUNTIF(Vertices[In-Degree],"&gt;="&amp;F25)</f>
        <v>0</v>
      </c>
      <c r="H24" s="34">
        <f t="shared" si="3"/>
        <v>1.6470588235294095</v>
      </c>
      <c r="I24" s="35">
        <f>COUNTIF(Vertices[Out-Degree],"&gt;= "&amp;H24)-COUNTIF(Vertices[Out-Degree],"&gt;="&amp;H25)</f>
        <v>0</v>
      </c>
      <c r="J24" s="34">
        <f t="shared" si="4"/>
        <v>8968.235294117649</v>
      </c>
      <c r="K24" s="35">
        <f>COUNTIF(Vertices[Betweenness Centrality],"&gt;= "&amp;J24)-COUNTIF(Vertices[Betweenness Centrality],"&gt;="&amp;J25)</f>
        <v>0</v>
      </c>
      <c r="L24" s="34">
        <f t="shared" si="5"/>
        <v>0.13853788235294115</v>
      </c>
      <c r="M24" s="35">
        <f>COUNTIF(Vertices[Closeness Centrality],"&gt;= "&amp;L24)-COUNTIF(Vertices[Closeness Centrality],"&gt;="&amp;L25)</f>
        <v>1</v>
      </c>
      <c r="N24" s="34">
        <f t="shared" si="6"/>
        <v>0.46877017647058844</v>
      </c>
      <c r="O24" s="35">
        <f>COUNTIF(Vertices[Eigenvector Centrality],"&gt;= "&amp;N24)-COUNTIF(Vertices[Eigenvector Centrality],"&gt;="&amp;N25)</f>
        <v>0</v>
      </c>
      <c r="P24" s="34">
        <f t="shared" si="7"/>
        <v>0.021885352941176474</v>
      </c>
      <c r="Q24" s="35">
        <f>COUNTIF(Vertices[PageRank],"&gt;= "&amp;P24)-COUNTIF(Vertices[PageRank],"&gt;="&amp;P25)</f>
        <v>0</v>
      </c>
      <c r="R24" s="34">
        <f t="shared" si="8"/>
        <v>0</v>
      </c>
      <c r="S24" s="40">
        <f>COUNTIF(Vertices[Clustering Coefficient],"&gt;= "&amp;R24)-COUNTIF(Vertices[Clustering Coefficient],"&gt;="&amp;R25)</f>
        <v>0</v>
      </c>
      <c r="T24" s="34" t="e">
        <f ca="1" t="shared" si="9"/>
        <v>#REF!</v>
      </c>
      <c r="U24" s="35" t="e">
        <f ca="1" t="shared" si="0"/>
        <v>#REF!</v>
      </c>
    </row>
    <row r="25" spans="1:21" ht="15">
      <c r="A25" s="31" t="s">
        <v>157</v>
      </c>
      <c r="B25" s="31">
        <v>2.246286</v>
      </c>
      <c r="D25" s="29">
        <f t="shared" si="1"/>
        <v>0</v>
      </c>
      <c r="E25">
        <f>COUNTIF(Vertices[Degree],"&gt;= "&amp;D25)-COUNTIF(Vertices[Degree],"&gt;="&amp;D26)</f>
        <v>0</v>
      </c>
      <c r="F25" s="36">
        <f t="shared" si="2"/>
        <v>68.32352941176468</v>
      </c>
      <c r="G25" s="37">
        <f>COUNTIF(Vertices[In-Degree],"&gt;= "&amp;F25)-COUNTIF(Vertices[In-Degree],"&gt;="&amp;F26)</f>
        <v>0</v>
      </c>
      <c r="H25" s="36">
        <f t="shared" si="3"/>
        <v>1.6764705882352917</v>
      </c>
      <c r="I25" s="37">
        <f>COUNTIF(Vertices[Out-Degree],"&gt;= "&amp;H25)-COUNTIF(Vertices[Out-Degree],"&gt;="&amp;H26)</f>
        <v>0</v>
      </c>
      <c r="J25" s="36">
        <f t="shared" si="4"/>
        <v>9375.882352941178</v>
      </c>
      <c r="K25" s="37">
        <f>COUNTIF(Vertices[Betweenness Centrality],"&gt;= "&amp;J25)-COUNTIF(Vertices[Betweenness Centrality],"&gt;="&amp;J26)</f>
        <v>0</v>
      </c>
      <c r="L25" s="36">
        <f t="shared" si="5"/>
        <v>0.14483505882352937</v>
      </c>
      <c r="M25" s="37">
        <f>COUNTIF(Vertices[Closeness Centrality],"&gt;= "&amp;L25)-COUNTIF(Vertices[Closeness Centrality],"&gt;="&amp;L26)</f>
        <v>0</v>
      </c>
      <c r="N25" s="36">
        <f t="shared" si="6"/>
        <v>0.4900779117647061</v>
      </c>
      <c r="O25" s="37">
        <f>COUNTIF(Vertices[Eigenvector Centrality],"&gt;= "&amp;N25)-COUNTIF(Vertices[Eigenvector Centrality],"&gt;="&amp;N26)</f>
        <v>0</v>
      </c>
      <c r="P25" s="36">
        <f t="shared" si="7"/>
        <v>0.02278682352941177</v>
      </c>
      <c r="Q25" s="37">
        <f>COUNTIF(Vertices[PageRank],"&gt;= "&amp;P25)-COUNTIF(Vertices[PageRank],"&gt;="&amp;P26)</f>
        <v>0</v>
      </c>
      <c r="R25" s="36">
        <f t="shared" si="8"/>
        <v>0</v>
      </c>
      <c r="S25" s="41">
        <f>COUNTIF(Vertices[Clustering Coefficient],"&gt;= "&amp;R25)-COUNTIF(Vertices[Clustering Coefficient],"&gt;="&amp;R26)</f>
        <v>0</v>
      </c>
      <c r="T25" s="36" t="e">
        <f ca="1" t="shared" si="9"/>
        <v>#REF!</v>
      </c>
      <c r="U25" s="37" t="e">
        <f ca="1" t="shared" si="0"/>
        <v>#REF!</v>
      </c>
    </row>
    <row r="26" spans="1:21" ht="15">
      <c r="A26" s="109"/>
      <c r="B26" s="109"/>
      <c r="D26" s="29">
        <f t="shared" si="1"/>
        <v>0</v>
      </c>
      <c r="E26">
        <f>COUNTIF(Vertices[Degree],"&gt;= "&amp;D26)-COUNTIF(Vertices[Degree],"&gt;="&amp;D27)</f>
        <v>0</v>
      </c>
      <c r="F26" s="34">
        <f t="shared" si="2"/>
        <v>71.2941176470588</v>
      </c>
      <c r="G26" s="35">
        <f>COUNTIF(Vertices[In-Degree],"&gt;= "&amp;F26)-COUNTIF(Vertices[In-Degree],"&gt;="&amp;F27)</f>
        <v>0</v>
      </c>
      <c r="H26" s="34">
        <f t="shared" si="3"/>
        <v>1.705882352941174</v>
      </c>
      <c r="I26" s="35">
        <f>COUNTIF(Vertices[Out-Degree],"&gt;= "&amp;H26)-COUNTIF(Vertices[Out-Degree],"&gt;="&amp;H27)</f>
        <v>0</v>
      </c>
      <c r="J26" s="34">
        <f t="shared" si="4"/>
        <v>9783.529411764708</v>
      </c>
      <c r="K26" s="35">
        <f>COUNTIF(Vertices[Betweenness Centrality],"&gt;= "&amp;J26)-COUNTIF(Vertices[Betweenness Centrality],"&gt;="&amp;J27)</f>
        <v>0</v>
      </c>
      <c r="L26" s="34">
        <f t="shared" si="5"/>
        <v>0.1511322352941176</v>
      </c>
      <c r="M26" s="35">
        <f>COUNTIF(Vertices[Closeness Centrality],"&gt;= "&amp;L26)-COUNTIF(Vertices[Closeness Centrality],"&gt;="&amp;L27)</f>
        <v>0</v>
      </c>
      <c r="N26" s="34">
        <f t="shared" si="6"/>
        <v>0.5113856470588237</v>
      </c>
      <c r="O26" s="35">
        <f>COUNTIF(Vertices[Eigenvector Centrality],"&gt;= "&amp;N26)-COUNTIF(Vertices[Eigenvector Centrality],"&gt;="&amp;N27)</f>
        <v>0</v>
      </c>
      <c r="P26" s="34">
        <f t="shared" si="7"/>
        <v>0.023688294117647064</v>
      </c>
      <c r="Q26" s="35">
        <f>COUNTIF(Vertices[PageRank],"&gt;= "&amp;P26)-COUNTIF(Vertices[PageRank],"&gt;="&amp;P27)</f>
        <v>0</v>
      </c>
      <c r="R26" s="34">
        <f t="shared" si="8"/>
        <v>0</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158</v>
      </c>
      <c r="B27" s="31">
        <v>0.002129889825594362</v>
      </c>
      <c r="D27" s="29">
        <f t="shared" si="1"/>
        <v>0</v>
      </c>
      <c r="E27">
        <f>COUNTIF(Vertices[Degree],"&gt;= "&amp;D27)-COUNTIF(Vertices[Degree],"&gt;="&amp;D28)</f>
        <v>0</v>
      </c>
      <c r="F27" s="36">
        <f t="shared" si="2"/>
        <v>74.26470588235291</v>
      </c>
      <c r="G27" s="37">
        <f>COUNTIF(Vertices[In-Degree],"&gt;= "&amp;F27)-COUNTIF(Vertices[In-Degree],"&gt;="&amp;F28)</f>
        <v>0</v>
      </c>
      <c r="H27" s="36">
        <f t="shared" si="3"/>
        <v>1.7352941176470562</v>
      </c>
      <c r="I27" s="37">
        <f>COUNTIF(Vertices[Out-Degree],"&gt;= "&amp;H27)-COUNTIF(Vertices[Out-Degree],"&gt;="&amp;H28)</f>
        <v>0</v>
      </c>
      <c r="J27" s="36">
        <f t="shared" si="4"/>
        <v>10191.176470588238</v>
      </c>
      <c r="K27" s="37">
        <f>COUNTIF(Vertices[Betweenness Centrality],"&gt;= "&amp;J27)-COUNTIF(Vertices[Betweenness Centrality],"&gt;="&amp;J28)</f>
        <v>0</v>
      </c>
      <c r="L27" s="36">
        <f t="shared" si="5"/>
        <v>0.15742941176470582</v>
      </c>
      <c r="M27" s="37">
        <f>COUNTIF(Vertices[Closeness Centrality],"&gt;= "&amp;L27)-COUNTIF(Vertices[Closeness Centrality],"&gt;="&amp;L28)</f>
        <v>0</v>
      </c>
      <c r="N27" s="36">
        <f t="shared" si="6"/>
        <v>0.5326933823529414</v>
      </c>
      <c r="O27" s="37">
        <f>COUNTIF(Vertices[Eigenvector Centrality],"&gt;= "&amp;N27)-COUNTIF(Vertices[Eigenvector Centrality],"&gt;="&amp;N28)</f>
        <v>0</v>
      </c>
      <c r="P27" s="36">
        <f t="shared" si="7"/>
        <v>0.02458976470588236</v>
      </c>
      <c r="Q27" s="37">
        <f>COUNTIF(Vertices[PageRank],"&gt;= "&amp;P27)-COUNTIF(Vertices[PageRank],"&gt;="&amp;P28)</f>
        <v>0</v>
      </c>
      <c r="R27" s="36">
        <f t="shared" si="8"/>
        <v>0</v>
      </c>
      <c r="S27" s="41">
        <f>COUNTIF(Vertices[Clustering Coefficient],"&gt;= "&amp;R27)-COUNTIF(Vertices[Clustering Coefficient],"&gt;="&amp;R28)</f>
        <v>0</v>
      </c>
      <c r="T27" s="36" t="e">
        <f ca="1" t="shared" si="9"/>
        <v>#REF!</v>
      </c>
      <c r="U27" s="37" t="e">
        <f ca="1" t="shared" si="10"/>
        <v>#REF!</v>
      </c>
    </row>
    <row r="28" spans="1:21" ht="15">
      <c r="A28" s="31" t="s">
        <v>2827</v>
      </c>
      <c r="B28" s="31">
        <v>0.724288</v>
      </c>
      <c r="D28" s="29">
        <f t="shared" si="1"/>
        <v>0</v>
      </c>
      <c r="E28">
        <f>COUNTIF(Vertices[Degree],"&gt;= "&amp;D28)-COUNTIF(Vertices[Degree],"&gt;="&amp;D29)</f>
        <v>0</v>
      </c>
      <c r="F28" s="34">
        <f t="shared" si="2"/>
        <v>77.23529411764703</v>
      </c>
      <c r="G28" s="35">
        <f>COUNTIF(Vertices[In-Degree],"&gt;= "&amp;F28)-COUNTIF(Vertices[In-Degree],"&gt;="&amp;F29)</f>
        <v>0</v>
      </c>
      <c r="H28" s="34">
        <f t="shared" si="3"/>
        <v>1.7647058823529385</v>
      </c>
      <c r="I28" s="35">
        <f>COUNTIF(Vertices[Out-Degree],"&gt;= "&amp;H28)-COUNTIF(Vertices[Out-Degree],"&gt;="&amp;H29)</f>
        <v>0</v>
      </c>
      <c r="J28" s="34">
        <f t="shared" si="4"/>
        <v>10598.823529411768</v>
      </c>
      <c r="K28" s="35">
        <f>COUNTIF(Vertices[Betweenness Centrality],"&gt;= "&amp;J28)-COUNTIF(Vertices[Betweenness Centrality],"&gt;="&amp;J29)</f>
        <v>0</v>
      </c>
      <c r="L28" s="34">
        <f t="shared" si="5"/>
        <v>0.16372658823529404</v>
      </c>
      <c r="M28" s="35">
        <f>COUNTIF(Vertices[Closeness Centrality],"&gt;= "&amp;L28)-COUNTIF(Vertices[Closeness Centrality],"&gt;="&amp;L29)</f>
        <v>0</v>
      </c>
      <c r="N28" s="34">
        <f t="shared" si="6"/>
        <v>0.5540011176470591</v>
      </c>
      <c r="O28" s="35">
        <f>COUNTIF(Vertices[Eigenvector Centrality],"&gt;= "&amp;N28)-COUNTIF(Vertices[Eigenvector Centrality],"&gt;="&amp;N29)</f>
        <v>0</v>
      </c>
      <c r="P28" s="34">
        <f t="shared" si="7"/>
        <v>0.025491235294117655</v>
      </c>
      <c r="Q28" s="35">
        <f>COUNTIF(Vertices[PageRank],"&gt;= "&amp;P28)-COUNTIF(Vertices[PageRank],"&gt;="&amp;P29)</f>
        <v>0</v>
      </c>
      <c r="R28" s="34">
        <f t="shared" si="8"/>
        <v>0</v>
      </c>
      <c r="S28" s="40">
        <f>COUNTIF(Vertices[Clustering Coefficient],"&gt;= "&amp;R28)-COUNTIF(Vertices[Clustering Coefficient],"&gt;="&amp;R29)</f>
        <v>0</v>
      </c>
      <c r="T28" s="34" t="e">
        <f ca="1" t="shared" si="9"/>
        <v>#REF!</v>
      </c>
      <c r="U28" s="35" t="e">
        <f ca="1" t="shared" si="10"/>
        <v>#REF!</v>
      </c>
    </row>
    <row r="29" spans="1:21" ht="15">
      <c r="A29" s="109"/>
      <c r="B29" s="109"/>
      <c r="D29" s="29">
        <f t="shared" si="1"/>
        <v>0</v>
      </c>
      <c r="E29">
        <f>COUNTIF(Vertices[Degree],"&gt;= "&amp;D29)-COUNTIF(Vertices[Degree],"&gt;="&amp;D30)</f>
        <v>0</v>
      </c>
      <c r="F29" s="36">
        <f t="shared" si="2"/>
        <v>80.20588235294115</v>
      </c>
      <c r="G29" s="37">
        <f>COUNTIF(Vertices[In-Degree],"&gt;= "&amp;F29)-COUNTIF(Vertices[In-Degree],"&gt;="&amp;F30)</f>
        <v>1</v>
      </c>
      <c r="H29" s="36">
        <f t="shared" si="3"/>
        <v>1.7941176470588207</v>
      </c>
      <c r="I29" s="37">
        <f>COUNTIF(Vertices[Out-Degree],"&gt;= "&amp;H29)-COUNTIF(Vertices[Out-Degree],"&gt;="&amp;H30)</f>
        <v>0</v>
      </c>
      <c r="J29" s="36">
        <f t="shared" si="4"/>
        <v>11006.470588235297</v>
      </c>
      <c r="K29" s="37">
        <f>COUNTIF(Vertices[Betweenness Centrality],"&gt;= "&amp;J29)-COUNTIF(Vertices[Betweenness Centrality],"&gt;="&amp;J30)</f>
        <v>0</v>
      </c>
      <c r="L29" s="36">
        <f t="shared" si="5"/>
        <v>0.17002376470588226</v>
      </c>
      <c r="M29" s="37">
        <f>COUNTIF(Vertices[Closeness Centrality],"&gt;= "&amp;L29)-COUNTIF(Vertices[Closeness Centrality],"&gt;="&amp;L30)</f>
        <v>0</v>
      </c>
      <c r="N29" s="36">
        <f t="shared" si="6"/>
        <v>0.5753088529411767</v>
      </c>
      <c r="O29" s="37">
        <f>COUNTIF(Vertices[Eigenvector Centrality],"&gt;= "&amp;N29)-COUNTIF(Vertices[Eigenvector Centrality],"&gt;="&amp;N30)</f>
        <v>0</v>
      </c>
      <c r="P29" s="36">
        <f t="shared" si="7"/>
        <v>0.02639270588235295</v>
      </c>
      <c r="Q29" s="37">
        <f>COUNTIF(Vertices[PageRank],"&gt;= "&amp;P29)-COUNTIF(Vertices[PageRank],"&gt;="&amp;P30)</f>
        <v>1</v>
      </c>
      <c r="R29" s="36">
        <f t="shared" si="8"/>
        <v>0</v>
      </c>
      <c r="S29" s="41">
        <f>COUNTIF(Vertices[Clustering Coefficient],"&gt;= "&amp;R29)-COUNTIF(Vertices[Clustering Coefficient],"&gt;="&amp;R30)</f>
        <v>0</v>
      </c>
      <c r="T29" s="36" t="e">
        <f ca="1" t="shared" si="9"/>
        <v>#REF!</v>
      </c>
      <c r="U29" s="37" t="e">
        <f ca="1" t="shared" si="10"/>
        <v>#REF!</v>
      </c>
    </row>
    <row r="30" spans="1:21" ht="15">
      <c r="A30" s="31" t="s">
        <v>2828</v>
      </c>
      <c r="B30" s="31" t="s">
        <v>2843</v>
      </c>
      <c r="D30" s="29">
        <f t="shared" si="1"/>
        <v>0</v>
      </c>
      <c r="E30">
        <f>COUNTIF(Vertices[Degree],"&gt;= "&amp;D30)-COUNTIF(Vertices[Degree],"&gt;="&amp;D31)</f>
        <v>0</v>
      </c>
      <c r="F30" s="34">
        <f t="shared" si="2"/>
        <v>83.17647058823526</v>
      </c>
      <c r="G30" s="35">
        <f>COUNTIF(Vertices[In-Degree],"&gt;= "&amp;F30)-COUNTIF(Vertices[In-Degree],"&gt;="&amp;F31)</f>
        <v>0</v>
      </c>
      <c r="H30" s="34">
        <f t="shared" si="3"/>
        <v>1.823529411764703</v>
      </c>
      <c r="I30" s="35">
        <f>COUNTIF(Vertices[Out-Degree],"&gt;= "&amp;H30)-COUNTIF(Vertices[Out-Degree],"&gt;="&amp;H31)</f>
        <v>0</v>
      </c>
      <c r="J30" s="34">
        <f t="shared" si="4"/>
        <v>11414.117647058827</v>
      </c>
      <c r="K30" s="35">
        <f>COUNTIF(Vertices[Betweenness Centrality],"&gt;= "&amp;J30)-COUNTIF(Vertices[Betweenness Centrality],"&gt;="&amp;J31)</f>
        <v>0</v>
      </c>
      <c r="L30" s="34">
        <f t="shared" si="5"/>
        <v>0.17632094117647049</v>
      </c>
      <c r="M30" s="35">
        <f>COUNTIF(Vertices[Closeness Centrality],"&gt;= "&amp;L30)-COUNTIF(Vertices[Closeness Centrality],"&gt;="&amp;L31)</f>
        <v>0</v>
      </c>
      <c r="N30" s="34">
        <f t="shared" si="6"/>
        <v>0.5966165882352944</v>
      </c>
      <c r="O30" s="35">
        <f>COUNTIF(Vertices[Eigenvector Centrality],"&gt;= "&amp;N30)-COUNTIF(Vertices[Eigenvector Centrality],"&gt;="&amp;N31)</f>
        <v>0</v>
      </c>
      <c r="P30" s="34">
        <f t="shared" si="7"/>
        <v>0.027294176470588245</v>
      </c>
      <c r="Q30" s="35">
        <f>COUNTIF(Vertices[PageRank],"&gt;= "&amp;P30)-COUNTIF(Vertices[PageRank],"&gt;="&amp;P31)</f>
        <v>0</v>
      </c>
      <c r="R30" s="34">
        <f t="shared" si="8"/>
        <v>0</v>
      </c>
      <c r="S30" s="40">
        <f>COUNTIF(Vertices[Clustering Coefficient],"&gt;= "&amp;R30)-COUNTIF(Vertices[Clustering Coefficient],"&gt;="&amp;R31)</f>
        <v>0</v>
      </c>
      <c r="T30" s="34" t="e">
        <f ca="1" t="shared" si="9"/>
        <v>#REF!</v>
      </c>
      <c r="U30" s="35" t="e">
        <f ca="1" t="shared" si="10"/>
        <v>#REF!</v>
      </c>
    </row>
    <row r="31" spans="1:21" ht="15">
      <c r="A31" s="109"/>
      <c r="B31" s="109"/>
      <c r="D31" s="29">
        <f t="shared" si="1"/>
        <v>0</v>
      </c>
      <c r="E31">
        <f>COUNTIF(Vertices[Degree],"&gt;= "&amp;D31)-COUNTIF(Vertices[Degree],"&gt;="&amp;D32)</f>
        <v>0</v>
      </c>
      <c r="F31" s="36">
        <f t="shared" si="2"/>
        <v>86.14705882352938</v>
      </c>
      <c r="G31" s="37">
        <f>COUNTIF(Vertices[In-Degree],"&gt;= "&amp;F31)-COUNTIF(Vertices[In-Degree],"&gt;="&amp;F32)</f>
        <v>0</v>
      </c>
      <c r="H31" s="36">
        <f t="shared" si="3"/>
        <v>1.8529411764705852</v>
      </c>
      <c r="I31" s="37">
        <f>COUNTIF(Vertices[Out-Degree],"&gt;= "&amp;H31)-COUNTIF(Vertices[Out-Degree],"&gt;="&amp;H32)</f>
        <v>0</v>
      </c>
      <c r="J31" s="36">
        <f t="shared" si="4"/>
        <v>11821.764705882357</v>
      </c>
      <c r="K31" s="37">
        <f>COUNTIF(Vertices[Betweenness Centrality],"&gt;= "&amp;J31)-COUNTIF(Vertices[Betweenness Centrality],"&gt;="&amp;J32)</f>
        <v>0</v>
      </c>
      <c r="L31" s="36">
        <f t="shared" si="5"/>
        <v>0.1826181176470587</v>
      </c>
      <c r="M31" s="37">
        <f>COUNTIF(Vertices[Closeness Centrality],"&gt;= "&amp;L31)-COUNTIF(Vertices[Closeness Centrality],"&gt;="&amp;L32)</f>
        <v>0</v>
      </c>
      <c r="N31" s="36">
        <f t="shared" si="6"/>
        <v>0.6179243235294121</v>
      </c>
      <c r="O31" s="37">
        <f>COUNTIF(Vertices[Eigenvector Centrality],"&gt;= "&amp;N31)-COUNTIF(Vertices[Eigenvector Centrality],"&gt;="&amp;N32)</f>
        <v>0</v>
      </c>
      <c r="P31" s="36">
        <f t="shared" si="7"/>
        <v>0.02819564705882354</v>
      </c>
      <c r="Q31" s="37">
        <f>COUNTIF(Vertices[PageRank],"&gt;= "&amp;P31)-COUNTIF(Vertices[PageRank],"&gt;="&amp;P32)</f>
        <v>0</v>
      </c>
      <c r="R31" s="36">
        <f t="shared" si="8"/>
        <v>0</v>
      </c>
      <c r="S31" s="41">
        <f>COUNTIF(Vertices[Clustering Coefficient],"&gt;= "&amp;R31)-COUNTIF(Vertices[Clustering Coefficient],"&gt;="&amp;R32)</f>
        <v>0</v>
      </c>
      <c r="T31" s="36" t="e">
        <f ca="1" t="shared" si="9"/>
        <v>#REF!</v>
      </c>
      <c r="U31" s="37" t="e">
        <f ca="1" t="shared" si="10"/>
        <v>#REF!</v>
      </c>
    </row>
    <row r="32" spans="1:21" ht="15">
      <c r="A32" s="31" t="s">
        <v>2829</v>
      </c>
      <c r="B32" s="31" t="s">
        <v>2902</v>
      </c>
      <c r="D32" s="29">
        <f t="shared" si="1"/>
        <v>0</v>
      </c>
      <c r="E32">
        <f>COUNTIF(Vertices[Degree],"&gt;= "&amp;D32)-COUNTIF(Vertices[Degree],"&gt;="&amp;D33)</f>
        <v>0</v>
      </c>
      <c r="F32" s="34">
        <f t="shared" si="2"/>
        <v>89.1176470588235</v>
      </c>
      <c r="G32" s="35">
        <f>COUNTIF(Vertices[In-Degree],"&gt;= "&amp;F32)-COUNTIF(Vertices[In-Degree],"&gt;="&amp;F33)</f>
        <v>0</v>
      </c>
      <c r="H32" s="34">
        <f t="shared" si="3"/>
        <v>1.8823529411764675</v>
      </c>
      <c r="I32" s="35">
        <f>COUNTIF(Vertices[Out-Degree],"&gt;= "&amp;H32)-COUNTIF(Vertices[Out-Degree],"&gt;="&amp;H33)</f>
        <v>0</v>
      </c>
      <c r="J32" s="34">
        <f t="shared" si="4"/>
        <v>12229.411764705887</v>
      </c>
      <c r="K32" s="35">
        <f>COUNTIF(Vertices[Betweenness Centrality],"&gt;= "&amp;J32)-COUNTIF(Vertices[Betweenness Centrality],"&gt;="&amp;J33)</f>
        <v>0</v>
      </c>
      <c r="L32" s="34">
        <f t="shared" si="5"/>
        <v>0.18891529411764693</v>
      </c>
      <c r="M32" s="35">
        <f>COUNTIF(Vertices[Closeness Centrality],"&gt;= "&amp;L32)-COUNTIF(Vertices[Closeness Centrality],"&gt;="&amp;L33)</f>
        <v>1</v>
      </c>
      <c r="N32" s="34">
        <f t="shared" si="6"/>
        <v>0.6392320588235297</v>
      </c>
      <c r="O32" s="35">
        <f>COUNTIF(Vertices[Eigenvector Centrality],"&gt;= "&amp;N32)-COUNTIF(Vertices[Eigenvector Centrality],"&gt;="&amp;N33)</f>
        <v>0</v>
      </c>
      <c r="P32" s="34">
        <f t="shared" si="7"/>
        <v>0.029097117647058836</v>
      </c>
      <c r="Q32" s="35">
        <f>COUNTIF(Vertices[PageRank],"&gt;= "&amp;P32)-COUNTIF(Vertices[PageRank],"&gt;="&amp;P33)</f>
        <v>0</v>
      </c>
      <c r="R32" s="34">
        <f t="shared" si="8"/>
        <v>0</v>
      </c>
      <c r="S32" s="40">
        <f>COUNTIF(Vertices[Clustering Coefficient],"&gt;= "&amp;R32)-COUNTIF(Vertices[Clustering Coefficient],"&gt;="&amp;R33)</f>
        <v>0</v>
      </c>
      <c r="T32" s="34" t="e">
        <f ca="1" t="shared" si="9"/>
        <v>#REF!</v>
      </c>
      <c r="U32" s="35" t="e">
        <f ca="1" t="shared" si="10"/>
        <v>#REF!</v>
      </c>
    </row>
    <row r="33" spans="1:21" ht="15">
      <c r="A33" s="31" t="s">
        <v>2830</v>
      </c>
      <c r="B33" s="31" t="s">
        <v>2903</v>
      </c>
      <c r="D33" s="29">
        <f t="shared" si="1"/>
        <v>0</v>
      </c>
      <c r="E33">
        <f>COUNTIF(Vertices[Degree],"&gt;= "&amp;D33)-COUNTIF(Vertices[Degree],"&gt;="&amp;D34)</f>
        <v>0</v>
      </c>
      <c r="F33" s="36">
        <f t="shared" si="2"/>
        <v>92.08823529411761</v>
      </c>
      <c r="G33" s="37">
        <f>COUNTIF(Vertices[In-Degree],"&gt;= "&amp;F33)-COUNTIF(Vertices[In-Degree],"&gt;="&amp;F34)</f>
        <v>0</v>
      </c>
      <c r="H33" s="36">
        <f t="shared" si="3"/>
        <v>1.9117647058823497</v>
      </c>
      <c r="I33" s="37">
        <f>COUNTIF(Vertices[Out-Degree],"&gt;= "&amp;H33)-COUNTIF(Vertices[Out-Degree],"&gt;="&amp;H34)</f>
        <v>0</v>
      </c>
      <c r="J33" s="36">
        <f t="shared" si="4"/>
        <v>12637.058823529416</v>
      </c>
      <c r="K33" s="37">
        <f>COUNTIF(Vertices[Betweenness Centrality],"&gt;= "&amp;J33)-COUNTIF(Vertices[Betweenness Centrality],"&gt;="&amp;J34)</f>
        <v>0</v>
      </c>
      <c r="L33" s="36">
        <f t="shared" si="5"/>
        <v>0.19521247058823515</v>
      </c>
      <c r="M33" s="37">
        <f>COUNTIF(Vertices[Closeness Centrality],"&gt;= "&amp;L33)-COUNTIF(Vertices[Closeness Centrality],"&gt;="&amp;L34)</f>
        <v>0</v>
      </c>
      <c r="N33" s="36">
        <f t="shared" si="6"/>
        <v>0.6605397941176474</v>
      </c>
      <c r="O33" s="37">
        <f>COUNTIF(Vertices[Eigenvector Centrality],"&gt;= "&amp;N33)-COUNTIF(Vertices[Eigenvector Centrality],"&gt;="&amp;N34)</f>
        <v>0</v>
      </c>
      <c r="P33" s="36">
        <f t="shared" si="7"/>
        <v>0.02999858823529413</v>
      </c>
      <c r="Q33" s="37">
        <f>COUNTIF(Vertices[PageRank],"&gt;= "&amp;P33)-COUNTIF(Vertices[PageRank],"&gt;="&amp;P34)</f>
        <v>0</v>
      </c>
      <c r="R33" s="36">
        <f t="shared" si="8"/>
        <v>0</v>
      </c>
      <c r="S33" s="41">
        <f>COUNTIF(Vertices[Clustering Coefficient],"&gt;= "&amp;R33)-COUNTIF(Vertices[Clustering Coefficient],"&gt;="&amp;R34)</f>
        <v>0</v>
      </c>
      <c r="T33" s="36" t="e">
        <f ca="1" t="shared" si="9"/>
        <v>#REF!</v>
      </c>
      <c r="U33" s="37" t="e">
        <f ca="1" t="shared" si="10"/>
        <v>#REF!</v>
      </c>
    </row>
    <row r="34" spans="1:21" ht="15">
      <c r="A34" s="109"/>
      <c r="B34" s="109"/>
      <c r="D34" s="29">
        <f t="shared" si="1"/>
        <v>0</v>
      </c>
      <c r="E34">
        <f>COUNTIF(Vertices[Degree],"&gt;= "&amp;D34)-COUNTIF(Vertices[Degree],"&gt;="&amp;D35)</f>
        <v>0</v>
      </c>
      <c r="F34" s="34">
        <f t="shared" si="2"/>
        <v>95.05882352941173</v>
      </c>
      <c r="G34" s="35">
        <f>COUNTIF(Vertices[In-Degree],"&gt;= "&amp;F34)-COUNTIF(Vertices[In-Degree],"&gt;="&amp;F35)</f>
        <v>0</v>
      </c>
      <c r="H34" s="34">
        <f t="shared" si="3"/>
        <v>1.941176470588232</v>
      </c>
      <c r="I34" s="35">
        <f>COUNTIF(Vertices[Out-Degree],"&gt;= "&amp;H34)-COUNTIF(Vertices[Out-Degree],"&gt;="&amp;H35)</f>
        <v>0</v>
      </c>
      <c r="J34" s="34">
        <f t="shared" si="4"/>
        <v>13044.705882352946</v>
      </c>
      <c r="K34" s="35">
        <f>COUNTIF(Vertices[Betweenness Centrality],"&gt;= "&amp;J34)-COUNTIF(Vertices[Betweenness Centrality],"&gt;="&amp;J35)</f>
        <v>0</v>
      </c>
      <c r="L34" s="34">
        <f t="shared" si="5"/>
        <v>0.20150964705882338</v>
      </c>
      <c r="M34" s="35">
        <f>COUNTIF(Vertices[Closeness Centrality],"&gt;= "&amp;L34)-COUNTIF(Vertices[Closeness Centrality],"&gt;="&amp;L35)</f>
        <v>0</v>
      </c>
      <c r="N34" s="34">
        <f t="shared" si="6"/>
        <v>0.6818475294117651</v>
      </c>
      <c r="O34" s="35">
        <f>COUNTIF(Vertices[Eigenvector Centrality],"&gt;= "&amp;N34)-COUNTIF(Vertices[Eigenvector Centrality],"&gt;="&amp;N35)</f>
        <v>0</v>
      </c>
      <c r="P34" s="34">
        <f t="shared" si="7"/>
        <v>0.030900058823529426</v>
      </c>
      <c r="Q34" s="35">
        <f>COUNTIF(Vertices[PageRank],"&gt;= "&amp;P34)-COUNTIF(Vertices[PageRank],"&gt;="&amp;P35)</f>
        <v>0</v>
      </c>
      <c r="R34" s="34">
        <f t="shared" si="8"/>
        <v>0</v>
      </c>
      <c r="S34" s="40">
        <f>COUNTIF(Vertices[Clustering Coefficient],"&gt;= "&amp;R34)-COUNTIF(Vertices[Clustering Coefficient],"&gt;="&amp;R35)</f>
        <v>0</v>
      </c>
      <c r="T34" s="34" t="e">
        <f ca="1" t="shared" si="9"/>
        <v>#REF!</v>
      </c>
      <c r="U34" s="35" t="e">
        <f ca="1" t="shared" si="10"/>
        <v>#REF!</v>
      </c>
    </row>
    <row r="35" spans="1:21" ht="15">
      <c r="A35" s="31" t="s">
        <v>2831</v>
      </c>
      <c r="B35" s="31" t="s">
        <v>2897</v>
      </c>
      <c r="D35" s="29">
        <f t="shared" si="1"/>
        <v>0</v>
      </c>
      <c r="E35">
        <f>COUNTIF(Vertices[Degree],"&gt;= "&amp;D35)-COUNTIF(Vertices[Degree],"&gt;="&amp;D36)</f>
        <v>0</v>
      </c>
      <c r="F35" s="36">
        <f t="shared" si="2"/>
        <v>98.02941176470584</v>
      </c>
      <c r="G35" s="37">
        <f>COUNTIF(Vertices[In-Degree],"&gt;= "&amp;F35)-COUNTIF(Vertices[In-Degree],"&gt;="&amp;F36)</f>
        <v>0</v>
      </c>
      <c r="H35" s="36">
        <f t="shared" si="3"/>
        <v>1.9705882352941142</v>
      </c>
      <c r="I35" s="37">
        <f>COUNTIF(Vertices[Out-Degree],"&gt;= "&amp;H35)-COUNTIF(Vertices[Out-Degree],"&gt;="&amp;H36)</f>
        <v>0</v>
      </c>
      <c r="J35" s="36">
        <f t="shared" si="4"/>
        <v>13452.352941176476</v>
      </c>
      <c r="K35" s="37">
        <f>COUNTIF(Vertices[Betweenness Centrality],"&gt;= "&amp;J35)-COUNTIF(Vertices[Betweenness Centrality],"&gt;="&amp;J36)</f>
        <v>0</v>
      </c>
      <c r="L35" s="36">
        <f t="shared" si="5"/>
        <v>0.2078068235294116</v>
      </c>
      <c r="M35" s="37">
        <f>COUNTIF(Vertices[Closeness Centrality],"&gt;= "&amp;L35)-COUNTIF(Vertices[Closeness Centrality],"&gt;="&amp;L36)</f>
        <v>0</v>
      </c>
      <c r="N35" s="36">
        <f t="shared" si="6"/>
        <v>0.7031552647058827</v>
      </c>
      <c r="O35" s="37">
        <f>COUNTIF(Vertices[Eigenvector Centrality],"&gt;= "&amp;N35)-COUNTIF(Vertices[Eigenvector Centrality],"&gt;="&amp;N36)</f>
        <v>0</v>
      </c>
      <c r="P35" s="36">
        <f t="shared" si="7"/>
        <v>0.03180152941176472</v>
      </c>
      <c r="Q35" s="37">
        <f>COUNTIF(Vertices[PageRank],"&gt;= "&amp;P35)-COUNTIF(Vertices[PageRank],"&gt;="&amp;P36)</f>
        <v>0</v>
      </c>
      <c r="R35" s="36">
        <f t="shared" si="8"/>
        <v>0</v>
      </c>
      <c r="S35" s="41">
        <f>COUNTIF(Vertices[Clustering Coefficient],"&gt;= "&amp;R35)-COUNTIF(Vertices[Clustering Coefficient],"&gt;="&amp;R36)</f>
        <v>0</v>
      </c>
      <c r="T35" s="36" t="e">
        <f ca="1" t="shared" si="9"/>
        <v>#REF!</v>
      </c>
      <c r="U35" s="37" t="e">
        <f ca="1" t="shared" si="10"/>
        <v>#REF!</v>
      </c>
    </row>
    <row r="36" spans="1:21" ht="15">
      <c r="A36" s="31" t="s">
        <v>2832</v>
      </c>
      <c r="B36" s="31" t="s">
        <v>2898</v>
      </c>
      <c r="D36" s="29">
        <f>MAX(Vertices[Degree])</f>
        <v>0</v>
      </c>
      <c r="E36">
        <f>COUNTIF(Vertices[Degree],"&gt;= "&amp;D36)-COUNTIF(Vertices[Degree],"&gt;="&amp;#REF!)</f>
        <v>0</v>
      </c>
      <c r="F36" s="38">
        <f>MAX(Vertices[In-Degree])</f>
        <v>101</v>
      </c>
      <c r="G36" s="39">
        <f>COUNTIF(Vertices[In-Degree],"&gt;= "&amp;F36)-COUNTIF(Vertices[In-Degree],"&gt;="&amp;#REF!)</f>
        <v>1</v>
      </c>
      <c r="H36" s="38">
        <f>MAX(Vertices[Out-Degree])</f>
        <v>2</v>
      </c>
      <c r="I36" s="39">
        <f>COUNTIF(Vertices[Out-Degree],"&gt;= "&amp;H36)-COUNTIF(Vertices[Out-Degree],"&gt;="&amp;#REF!)</f>
        <v>4</v>
      </c>
      <c r="J36" s="38">
        <f>MAX(Vertices[Betweenness Centrality])</f>
        <v>13860</v>
      </c>
      <c r="K36" s="39">
        <f>COUNTIF(Vertices[Betweenness Centrality],"&gt;= "&amp;J36)-COUNTIF(Vertices[Betweenness Centrality],"&gt;="&amp;#REF!)</f>
        <v>1</v>
      </c>
      <c r="L36" s="38">
        <f>MAX(Vertices[Closeness Centrality])</f>
        <v>0.214104</v>
      </c>
      <c r="M36" s="39">
        <f>COUNTIF(Vertices[Closeness Centrality],"&gt;= "&amp;L36)-COUNTIF(Vertices[Closeness Centrality],"&gt;="&amp;#REF!)</f>
        <v>1</v>
      </c>
      <c r="N36" s="38">
        <f>MAX(Vertices[Eigenvector Centrality])</f>
        <v>0.724463</v>
      </c>
      <c r="O36" s="39">
        <f>COUNTIF(Vertices[Eigenvector Centrality],"&gt;= "&amp;N36)-COUNTIF(Vertices[Eigenvector Centrality],"&gt;="&amp;#REF!)</f>
        <v>1</v>
      </c>
      <c r="P36" s="38">
        <f>MAX(Vertices[PageRank])</f>
        <v>0.032703</v>
      </c>
      <c r="Q36" s="39">
        <f>COUNTIF(Vertices[PageRank],"&gt;= "&amp;P36)-COUNTIF(Vertices[PageRank],"&gt;="&amp;#REF!)</f>
        <v>1</v>
      </c>
      <c r="R36" s="38">
        <f>MAX(Vertices[Clustering Coefficient])</f>
        <v>0</v>
      </c>
      <c r="S36" s="42">
        <f>COUNTIF(Vertices[Clustering Coefficient],"&gt;= "&amp;R36)-COUNTIF(Vertices[Clustering Coefficient],"&gt;="&amp;#REF!)</f>
        <v>424</v>
      </c>
      <c r="T36" s="38" t="e">
        <f ca="1">MAX(INDIRECT(DynamicFilterSourceColumnRange))</f>
        <v>#REF!</v>
      </c>
      <c r="U36" s="39" t="e">
        <f ca="1">COUNTIF(INDIRECT(DynamicFilterSourceColumnRange),"&gt;= "&amp;T36)-COUNTIF(INDIRECT(DynamicFilterSourceColumnRange),"&gt;="&amp;#REF!)</f>
        <v>#REF!</v>
      </c>
    </row>
    <row r="37" spans="1:2" ht="403.2">
      <c r="A37" s="31" t="s">
        <v>2833</v>
      </c>
      <c r="B37" s="50" t="s">
        <v>2899</v>
      </c>
    </row>
    <row r="38" spans="1:2" ht="15">
      <c r="A38" s="31" t="s">
        <v>2834</v>
      </c>
      <c r="B38" s="31" t="s">
        <v>2900</v>
      </c>
    </row>
    <row r="39" spans="1:2" ht="15">
      <c r="A39" s="31" t="s">
        <v>2835</v>
      </c>
      <c r="B39" s="31" t="s">
        <v>2901</v>
      </c>
    </row>
    <row r="40" spans="1:2" ht="15">
      <c r="A40" s="31" t="s">
        <v>2836</v>
      </c>
      <c r="B40" s="31" t="s">
        <v>2746</v>
      </c>
    </row>
    <row r="41" spans="1:2" ht="15">
      <c r="A41" s="31" t="s">
        <v>2837</v>
      </c>
      <c r="B41" s="31" t="s">
        <v>2746</v>
      </c>
    </row>
    <row r="42" spans="1:2" ht="15">
      <c r="A42" s="31" t="s">
        <v>2838</v>
      </c>
      <c r="B42" s="31" t="s">
        <v>2746</v>
      </c>
    </row>
    <row r="43" spans="1:2" ht="15">
      <c r="A43" s="31" t="s">
        <v>2839</v>
      </c>
      <c r="B43" s="31" t="s">
        <v>32</v>
      </c>
    </row>
    <row r="44" spans="1:2" ht="15">
      <c r="A44" s="31" t="s">
        <v>21</v>
      </c>
      <c r="B44" s="31" t="s">
        <v>33</v>
      </c>
    </row>
    <row r="45" spans="1:2" ht="15">
      <c r="A45" s="31" t="s">
        <v>2840</v>
      </c>
      <c r="B45" s="31" t="s">
        <v>32</v>
      </c>
    </row>
    <row r="46" spans="1:2" ht="15">
      <c r="A46" s="31" t="s">
        <v>2841</v>
      </c>
      <c r="B46" s="31"/>
    </row>
    <row r="47" spans="1:2" ht="15">
      <c r="A47" s="31" t="s">
        <v>2842</v>
      </c>
      <c r="B47"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101</v>
      </c>
    </row>
    <row r="90" spans="1:2" ht="15">
      <c r="A90" s="30" t="s">
        <v>90</v>
      </c>
      <c r="B90" s="44">
        <f>_xlfn.IFERROR(AVERAGE(Vertices[In-Degree]),NoMetricMessage)</f>
        <v>1.009433962264151</v>
      </c>
    </row>
    <row r="91" spans="1:2" ht="15">
      <c r="A91" s="30" t="s">
        <v>91</v>
      </c>
      <c r="B91" s="44">
        <f>_xlfn.IFERROR(MEDIAN(Vertices[In-Degree]),NoMetricMessage)</f>
        <v>0</v>
      </c>
    </row>
    <row r="102" spans="1:2" ht="15">
      <c r="A102" s="30" t="s">
        <v>94</v>
      </c>
      <c r="B102" s="43">
        <f>IF(COUNT(Vertices[Out-Degree])&gt;0,H2,NoMetricMessage)</f>
        <v>1</v>
      </c>
    </row>
    <row r="103" spans="1:2" ht="15">
      <c r="A103" s="30" t="s">
        <v>95</v>
      </c>
      <c r="B103" s="43">
        <f>IF(COUNT(Vertices[Out-Degree])&gt;0,H36,NoMetricMessage)</f>
        <v>2</v>
      </c>
    </row>
    <row r="104" spans="1:2" ht="15">
      <c r="A104" s="30" t="s">
        <v>96</v>
      </c>
      <c r="B104" s="44">
        <f>_xlfn.IFERROR(AVERAGE(Vertices[Out-Degree]),NoMetricMessage)</f>
        <v>1.009433962264151</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13860</v>
      </c>
    </row>
    <row r="118" spans="1:2" ht="15">
      <c r="A118" s="30" t="s">
        <v>102</v>
      </c>
      <c r="B118" s="44">
        <f>_xlfn.IFERROR(AVERAGE(Vertices[Betweenness Centrality]),NoMetricMessage)</f>
        <v>76.18867924528301</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0.214104</v>
      </c>
    </row>
    <row r="132" spans="1:2" ht="15">
      <c r="A132" s="30" t="s">
        <v>108</v>
      </c>
      <c r="B132" s="44">
        <f>_xlfn.IFERROR(AVERAGE(Vertices[Closeness Centrality]),NoMetricMessage)</f>
        <v>0.06373274292452812</v>
      </c>
    </row>
    <row r="133" spans="1:2" ht="15">
      <c r="A133" s="30" t="s">
        <v>109</v>
      </c>
      <c r="B133" s="44">
        <f>_xlfn.IFERROR(MEDIAN(Vertices[Closeness Centrality]),NoMetricMessage)</f>
        <v>0.046698</v>
      </c>
    </row>
    <row r="144" spans="1:2" ht="15">
      <c r="A144" s="30" t="s">
        <v>112</v>
      </c>
      <c r="B144" s="44">
        <f>IF(COUNT(Vertices[Eigenvector Centrality])&gt;0,N2,NoMetricMessage)</f>
        <v>0</v>
      </c>
    </row>
    <row r="145" spans="1:2" ht="15">
      <c r="A145" s="30" t="s">
        <v>113</v>
      </c>
      <c r="B145" s="44">
        <f>IF(COUNT(Vertices[Eigenvector Centrality])&gt;0,N36,NoMetricMessage)</f>
        <v>0.724463</v>
      </c>
    </row>
    <row r="146" spans="1:2" ht="15">
      <c r="A146" s="30" t="s">
        <v>114</v>
      </c>
      <c r="B146" s="44">
        <f>_xlfn.IFERROR(AVERAGE(Vertices[Eigenvector Centrality]),NoMetricMessage)</f>
        <v>0.018025023584905642</v>
      </c>
    </row>
    <row r="147" spans="1:2" ht="15">
      <c r="A147" s="30" t="s">
        <v>115</v>
      </c>
      <c r="B147" s="44">
        <f>_xlfn.IFERROR(MEDIAN(Vertices[Eigenvector Centrality]),NoMetricMessage)</f>
        <v>0</v>
      </c>
    </row>
    <row r="158" spans="1:2" ht="15">
      <c r="A158" s="30" t="s">
        <v>140</v>
      </c>
      <c r="B158" s="44">
        <f>IF(COUNT(Vertices[PageRank])&gt;0,P2,NoMetricMessage)</f>
        <v>0.002053</v>
      </c>
    </row>
    <row r="159" spans="1:2" ht="15">
      <c r="A159" s="30" t="s">
        <v>141</v>
      </c>
      <c r="B159" s="44">
        <f>IF(COUNT(Vertices[PageRank])&gt;0,P36,NoMetricMessage)</f>
        <v>0.032703</v>
      </c>
    </row>
    <row r="160" spans="1:2" ht="15">
      <c r="A160" s="30" t="s">
        <v>142</v>
      </c>
      <c r="B160" s="44">
        <f>_xlfn.IFERROR(AVERAGE(Vertices[PageRank]),NoMetricMessage)</f>
        <v>0.002358436320754709</v>
      </c>
    </row>
    <row r="161" spans="1:2" ht="15">
      <c r="A161" s="30" t="s">
        <v>143</v>
      </c>
      <c r="B161" s="44">
        <f>_xlfn.IFERROR(MEDIAN(Vertices[PageRank]),NoMetricMessage)</f>
        <v>0.002058</v>
      </c>
    </row>
    <row r="172" spans="1:2" ht="15">
      <c r="A172" s="30" t="s">
        <v>118</v>
      </c>
      <c r="B172" s="44">
        <f>IF(COUNT(Vertices[Clustering Coefficient])&gt;0,R2,NoMetricMessage)</f>
        <v>0</v>
      </c>
    </row>
    <row r="173" spans="1:2" ht="15">
      <c r="A173" s="30" t="s">
        <v>119</v>
      </c>
      <c r="B173" s="44">
        <f>IF(COUNT(Vertices[Clustering Coefficient])&gt;0,R36,NoMetricMessage)</f>
        <v>0</v>
      </c>
    </row>
    <row r="174" spans="1:2" ht="15">
      <c r="A174" s="30" t="s">
        <v>120</v>
      </c>
      <c r="B174" s="44">
        <f>_xlfn.IFERROR(AVERAGE(Vertices[Clustering Coefficient]),NoMetricMessage)</f>
        <v>0</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2745</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19</v>
      </c>
      <c r="R6" t="s">
        <v>129</v>
      </c>
    </row>
    <row r="7" spans="1:11" ht="409.6">
      <c r="A7">
        <v>2</v>
      </c>
      <c r="B7">
        <v>1</v>
      </c>
      <c r="C7">
        <v>0</v>
      </c>
      <c r="D7" t="s">
        <v>60</v>
      </c>
      <c r="E7" t="s">
        <v>60</v>
      </c>
      <c r="F7">
        <v>2</v>
      </c>
      <c r="H7" t="s">
        <v>72</v>
      </c>
      <c r="J7" t="s">
        <v>175</v>
      </c>
      <c r="K7" s="7" t="s">
        <v>176</v>
      </c>
    </row>
    <row r="8" spans="1:11" ht="409.6">
      <c r="A8"/>
      <c r="B8">
        <v>2</v>
      </c>
      <c r="C8">
        <v>2</v>
      </c>
      <c r="D8" t="s">
        <v>61</v>
      </c>
      <c r="E8" t="s">
        <v>61</v>
      </c>
      <c r="H8" t="s">
        <v>73</v>
      </c>
      <c r="J8" t="s">
        <v>177</v>
      </c>
      <c r="K8" s="7" t="s">
        <v>194</v>
      </c>
    </row>
    <row r="9" spans="1:11" ht="409.6">
      <c r="A9"/>
      <c r="B9">
        <v>3</v>
      </c>
      <c r="C9">
        <v>4</v>
      </c>
      <c r="D9" t="s">
        <v>62</v>
      </c>
      <c r="E9" t="s">
        <v>62</v>
      </c>
      <c r="H9" t="s">
        <v>74</v>
      </c>
      <c r="J9" t="s">
        <v>178</v>
      </c>
      <c r="K9" s="7" t="s">
        <v>195</v>
      </c>
    </row>
    <row r="10" spans="1:11" ht="409.6">
      <c r="A10"/>
      <c r="B10">
        <v>4</v>
      </c>
      <c r="D10" t="s">
        <v>63</v>
      </c>
      <c r="E10" t="s">
        <v>63</v>
      </c>
      <c r="H10" t="s">
        <v>75</v>
      </c>
      <c r="J10" t="s">
        <v>179</v>
      </c>
      <c r="K10" s="7" t="s">
        <v>196</v>
      </c>
    </row>
    <row r="11" spans="1:11" ht="15">
      <c r="A11"/>
      <c r="B11">
        <v>5</v>
      </c>
      <c r="D11" t="s">
        <v>46</v>
      </c>
      <c r="E11">
        <v>1</v>
      </c>
      <c r="H11" t="s">
        <v>76</v>
      </c>
      <c r="J11" t="s">
        <v>180</v>
      </c>
      <c r="K11" t="s">
        <v>197</v>
      </c>
    </row>
    <row r="12" spans="1:11" ht="15">
      <c r="A12"/>
      <c r="B12"/>
      <c r="D12" t="s">
        <v>64</v>
      </c>
      <c r="E12">
        <v>2</v>
      </c>
      <c r="H12">
        <v>0</v>
      </c>
      <c r="J12" t="s">
        <v>181</v>
      </c>
      <c r="K12" t="s">
        <v>198</v>
      </c>
    </row>
    <row r="13" spans="1:11" ht="15">
      <c r="A13"/>
      <c r="B13"/>
      <c r="D13">
        <v>1</v>
      </c>
      <c r="E13">
        <v>3</v>
      </c>
      <c r="H13">
        <v>1</v>
      </c>
      <c r="J13" t="s">
        <v>182</v>
      </c>
      <c r="K13" t="s">
        <v>199</v>
      </c>
    </row>
    <row r="14" spans="4:11" ht="15">
      <c r="D14">
        <v>2</v>
      </c>
      <c r="E14">
        <v>4</v>
      </c>
      <c r="H14">
        <v>2</v>
      </c>
      <c r="J14" t="s">
        <v>183</v>
      </c>
      <c r="K14" t="s">
        <v>200</v>
      </c>
    </row>
    <row r="15" spans="4:11" ht="15">
      <c r="D15">
        <v>3</v>
      </c>
      <c r="E15">
        <v>5</v>
      </c>
      <c r="H15">
        <v>3</v>
      </c>
      <c r="J15" t="s">
        <v>184</v>
      </c>
      <c r="K15" t="s">
        <v>201</v>
      </c>
    </row>
    <row r="16" spans="4:11" ht="15">
      <c r="D16">
        <v>4</v>
      </c>
      <c r="E16">
        <v>6</v>
      </c>
      <c r="H16">
        <v>4</v>
      </c>
      <c r="J16" t="s">
        <v>185</v>
      </c>
      <c r="K16" t="s">
        <v>202</v>
      </c>
    </row>
    <row r="17" spans="4:11" ht="15">
      <c r="D17">
        <v>5</v>
      </c>
      <c r="E17">
        <v>7</v>
      </c>
      <c r="H17">
        <v>5</v>
      </c>
      <c r="J17" t="s">
        <v>186</v>
      </c>
      <c r="K17" t="s">
        <v>203</v>
      </c>
    </row>
    <row r="18" spans="4:11" ht="15">
      <c r="D18">
        <v>6</v>
      </c>
      <c r="E18">
        <v>8</v>
      </c>
      <c r="H18">
        <v>6</v>
      </c>
      <c r="J18" t="s">
        <v>187</v>
      </c>
      <c r="K18" t="s">
        <v>204</v>
      </c>
    </row>
    <row r="19" spans="4:11" ht="15">
      <c r="D19">
        <v>7</v>
      </c>
      <c r="E19">
        <v>9</v>
      </c>
      <c r="H19">
        <v>7</v>
      </c>
      <c r="J19" t="s">
        <v>188</v>
      </c>
      <c r="K19" t="s">
        <v>205</v>
      </c>
    </row>
    <row r="20" spans="4:11" ht="15">
      <c r="D20">
        <v>8</v>
      </c>
      <c r="H20">
        <v>8</v>
      </c>
      <c r="J20" t="s">
        <v>189</v>
      </c>
      <c r="K20" t="s">
        <v>206</v>
      </c>
    </row>
    <row r="21" spans="4:11" ht="15">
      <c r="D21">
        <v>9</v>
      </c>
      <c r="H21">
        <v>9</v>
      </c>
      <c r="J21" t="s">
        <v>190</v>
      </c>
      <c r="K21" t="s">
        <v>207</v>
      </c>
    </row>
    <row r="22" spans="4:11" ht="409.6">
      <c r="D22">
        <v>10</v>
      </c>
      <c r="J22" t="s">
        <v>191</v>
      </c>
      <c r="K22" s="7" t="s">
        <v>208</v>
      </c>
    </row>
    <row r="23" spans="4:11" ht="409.6">
      <c r="D23">
        <v>11</v>
      </c>
      <c r="J23" t="s">
        <v>192</v>
      </c>
      <c r="K23" s="7" t="s">
        <v>209</v>
      </c>
    </row>
    <row r="24" spans="10:11" ht="409.6">
      <c r="J24" t="s">
        <v>193</v>
      </c>
      <c r="K24" s="7" t="s">
        <v>210</v>
      </c>
    </row>
    <row r="25" spans="10:11" ht="15">
      <c r="J25" t="s">
        <v>211</v>
      </c>
      <c r="K25" t="s">
        <v>2895</v>
      </c>
    </row>
    <row r="26" spans="10:11" ht="409.6">
      <c r="J26" t="s">
        <v>212</v>
      </c>
      <c r="K26" s="7" t="s">
        <v>2896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DCBBB-C467-4D68-8948-738E7EBA93C8}">
  <dimension ref="A1:G9"/>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7" t="s">
        <v>2785</v>
      </c>
      <c r="B1" s="7" t="s">
        <v>2794</v>
      </c>
      <c r="C1" s="7" t="s">
        <v>2798</v>
      </c>
      <c r="D1" s="7" t="s">
        <v>144</v>
      </c>
      <c r="E1" s="7" t="s">
        <v>2799</v>
      </c>
      <c r="F1" s="7" t="s">
        <v>2800</v>
      </c>
      <c r="G1" s="7" t="s">
        <v>2801</v>
      </c>
    </row>
    <row r="2" spans="1:7" ht="15">
      <c r="A2" s="83" t="s">
        <v>2786</v>
      </c>
      <c r="B2" s="83" t="s">
        <v>2795</v>
      </c>
      <c r="C2" s="104"/>
      <c r="D2" s="83"/>
      <c r="E2" s="83"/>
      <c r="F2" s="83"/>
      <c r="G2" s="83"/>
    </row>
    <row r="3" spans="1:7" ht="15">
      <c r="A3" s="84" t="s">
        <v>2787</v>
      </c>
      <c r="B3" s="83" t="s">
        <v>2796</v>
      </c>
      <c r="C3" s="104"/>
      <c r="D3" s="83"/>
      <c r="E3" s="83"/>
      <c r="F3" s="83"/>
      <c r="G3" s="83"/>
    </row>
    <row r="4" spans="1:7" ht="15">
      <c r="A4" s="84" t="s">
        <v>2788</v>
      </c>
      <c r="B4" s="83" t="s">
        <v>2797</v>
      </c>
      <c r="C4" s="104"/>
      <c r="D4" s="83"/>
      <c r="E4" s="83"/>
      <c r="F4" s="83"/>
      <c r="G4" s="83"/>
    </row>
    <row r="5" spans="1:7" ht="15">
      <c r="A5" s="84" t="s">
        <v>2789</v>
      </c>
      <c r="B5" s="83">
        <v>0</v>
      </c>
      <c r="C5" s="104">
        <v>0</v>
      </c>
      <c r="D5" s="83"/>
      <c r="E5" s="83"/>
      <c r="F5" s="83"/>
      <c r="G5" s="83"/>
    </row>
    <row r="6" spans="1:7" ht="15">
      <c r="A6" s="84" t="s">
        <v>2790</v>
      </c>
      <c r="B6" s="83">
        <v>0</v>
      </c>
      <c r="C6" s="104">
        <v>0</v>
      </c>
      <c r="D6" s="83"/>
      <c r="E6" s="83"/>
      <c r="F6" s="83"/>
      <c r="G6" s="83"/>
    </row>
    <row r="7" spans="1:7" ht="15">
      <c r="A7" s="84" t="s">
        <v>2791</v>
      </c>
      <c r="B7" s="83">
        <v>0</v>
      </c>
      <c r="C7" s="104">
        <v>0</v>
      </c>
      <c r="D7" s="83"/>
      <c r="E7" s="83"/>
      <c r="F7" s="83"/>
      <c r="G7" s="83"/>
    </row>
    <row r="8" spans="1:7" ht="15">
      <c r="A8" s="84" t="s">
        <v>2792</v>
      </c>
      <c r="B8" s="83">
        <v>0</v>
      </c>
      <c r="C8" s="104">
        <v>0</v>
      </c>
      <c r="D8" s="83"/>
      <c r="E8" s="83"/>
      <c r="F8" s="83"/>
      <c r="G8" s="83"/>
    </row>
    <row r="9" spans="1:7" ht="15">
      <c r="A9" s="84" t="s">
        <v>2793</v>
      </c>
      <c r="B9" s="83">
        <v>0</v>
      </c>
      <c r="C9" s="104">
        <v>1</v>
      </c>
      <c r="D9" s="83"/>
      <c r="E9" s="83"/>
      <c r="F9" s="83"/>
      <c r="G9" s="83"/>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8B083-CE8B-4449-9D7E-17203877BF9E}">
  <dimension ref="A1:L2"/>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83" t="s">
        <v>2802</v>
      </c>
      <c r="B1" s="83" t="s">
        <v>2803</v>
      </c>
      <c r="C1" s="83" t="s">
        <v>2794</v>
      </c>
      <c r="D1" s="83" t="s">
        <v>2798</v>
      </c>
      <c r="E1" s="83" t="s">
        <v>2804</v>
      </c>
      <c r="F1" s="83" t="s">
        <v>144</v>
      </c>
      <c r="G1" s="83" t="s">
        <v>2805</v>
      </c>
      <c r="H1" s="83" t="s">
        <v>2806</v>
      </c>
      <c r="I1" s="83" t="s">
        <v>2807</v>
      </c>
      <c r="J1" s="83" t="s">
        <v>2808</v>
      </c>
      <c r="K1" s="83" t="s">
        <v>2809</v>
      </c>
      <c r="L1" s="83" t="s">
        <v>2810</v>
      </c>
    </row>
    <row r="2" spans="1:12" ht="15">
      <c r="A2" s="83"/>
      <c r="B2" s="83"/>
      <c r="C2" s="83"/>
      <c r="D2" s="104"/>
      <c r="E2" s="104"/>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DDFE46D-BEFD-4919-BE65-71D6D180FD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Liz Stedman</cp:lastModifiedBy>
  <dcterms:created xsi:type="dcterms:W3CDTF">2008-01-30T00:41:58Z</dcterms:created>
  <dcterms:modified xsi:type="dcterms:W3CDTF">2023-06-16T04:03:32Z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