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<sst xmlns="http://schemas.openxmlformats.org/spreadsheetml/2006/main" count="8680" uniqueCount="2252">
  <si>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</si>
  <si>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</si>
  <si>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</si>
  <si>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</si>
  <si>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</si>
  <si>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</si>
  <si>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</si>
  <si>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</si>
  <si>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</si>
  <si>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</si>
  <si>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</si>
  <si>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</si>
  <si>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</si>
  <si>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</si>
  <si>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</si>
  <si>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</si>
  <si>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</si>
  <si>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</si>
  <si>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</si>
  <si>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</si>
  <si>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</si>
  <si>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</si>
  <si>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</si>
  <si>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</si>
  <si>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</si>
  <si>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</si>
  <si>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</si>
  <si>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</si>
  <si>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</si>
  <si>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</si>
  <si>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</si>
  <si>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</si>
  <si>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</si>
  <si>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</si>
  <si>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</si>
  <si>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</si>
  <si>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</si>
  <si>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</si>
  <si>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</si>
  <si>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</si>
  <si>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</si>
  <si>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</si>
  <si>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</si>
  <si>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</si>
  <si>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</si>
  <si>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</si>
  <si>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</si>
  <si>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</si>
  <si>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</si>
  <si>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</si>
  <si>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</si>
  <si>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</si>
  <si>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</si>
  <si>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</si>
  <si>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</si>
  <si>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</si>
  <si>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</si>
  <si>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</si>
  <si>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</si>
  <si>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</si>
  <si>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</si>
  <si>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</si>
  <si>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</si>
  <si>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</si>
  <si>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</si>
  <si>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</si>
  <si>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</si>
  <si>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</si>
  <si>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</si>
  <si>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</si>
  <si>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</si>
  <si>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</si>
  <si>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</si>
  <si>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</si>
  <si>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</si>
  <si>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</si>
  <si>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</si>
  <si>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</si>
  <si>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</si>
  <si>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</si>
  <si>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</si>
  <si>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</si>
  <si>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</si>
  <si>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</si>
  <si>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</si>
  <si>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</si>
  <si>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</si>
  <si>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</si>
  <si>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</si>
  <si>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</si>
  <si>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</si>
  <si>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</si>
  <si>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</si>
  <si>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</si>
  <si>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</si>
  <si>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</si>
  <si>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</si>
  <si>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</si>
  <si>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</si>
  <si>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</si>
  <si>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</si>
  <si>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</si>
  <si>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</si>
  <si>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</si>
  <si>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</si>
  <si>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</si>
  <si>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</si>
  <si>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</si>
  <si>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</si>
  <si>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</si>
  <si>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</si>
  <si>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</si>
  <si>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</si>
  <si>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</si>
  <si>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</si>
  <si>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</si>
  <si>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</si>
  <si>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</si>
  <si>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</si>
  <si>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</si>
  <si>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</si>
  <si>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</si>
  <si>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</si>
  <si>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</si>
  <si>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</si>
  <si>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</si>
  <si>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</si>
  <si>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</si>
  <si>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</si>
  <si>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</si>
  <si>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</si>
  <si>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</si>
  <si>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</si>
  <si>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</si>
  <si>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</si>
  <si>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</si>
  <si>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</si>
  <si>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</si>
  <si>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</si>
  <si>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</si>
  <si>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</si>
  <si>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</si>
  <si>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</si>
  <si>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</si>
  <si>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</si>
  <si>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</si>
  <si>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</si>
  <si>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</si>
  <si>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</si>
  <si>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</si>
  <si>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</si>
  <si>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</si>
  <si>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</si>
  <si>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</si>
  <si>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</si>
  <si>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</si>
  <si>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</si>
  <si>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</si>
  <si>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</si>
  <si>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</si>
  <si>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</si>
  <si>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</si>
  <si>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</si>
  <si>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</si>
  <si>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</si>
  <si>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</si>
  <si>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</si>
  <si>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</si>
  <si>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</si>
  <si>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</si>
  <si>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</si>
  <si>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</si>
  <si>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</si>
  <si>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</si>
  <si>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</si>
  <si>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</si>
  <si>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</si>
  <si>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</si>
  <si>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</si>
  <si>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</si>
  <si>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</si>
  <si>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</si>
  <si>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</si>
  <si>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</si>
  <si>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</si>
  <si>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</si>
  <si>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</si>
  <si>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</si>
  <si>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</si>
  <si>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</si>
  <si>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</si>
  <si>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</si>
  <si>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</si>
  <si>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</si>
  <si>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</si>
  <si>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</si>
  <si>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</si>
  <si>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</si>
  <si>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</si>
  <si>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</si>
  <si>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</si>
  <si>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</si>
  <si>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</si>
  <si>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</si>
  <si>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</si>
  <si>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</si>
  <si>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</si>
  <si>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</si>
  <si>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</si>
  <si>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</si>
  <si>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</si>
  <si>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</si>
  <si>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</si>
  <si>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</si>
  <si>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</si>
  <si>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</si>
  <si>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</si>
  <si>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</si>
  <si>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</si>
  <si>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</si>
  <si>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</si>
  <si>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</si>
  <si>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</si>
  <si>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</si>
  <si>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</si>
  <si>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</si>
  <si>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</si>
  <si>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</si>
  <si>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</si>
  <si>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</si>
  <si>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</si>
  <si>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</si>
  <si>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</si>
  <si>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</si>
  <si>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</si>
  <si>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</si>
  <si>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</si>
  <si>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</si>
  <si>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</si>
  <si>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</si>
  <si>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</si>
  <si>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</si>
  <si>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</si>
  <si>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</si>
  <si>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</si>
  <si>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</si>
  <si>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</si>
  <si>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</si>
  <si>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</si>
  <si>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</si>
  <si>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</si>
  <si>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</si>
  <si>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</si>
  <si>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</si>
  <si>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</si>
  <si>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</si>
  <si>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</si>
  <si>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</si>
  <si>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</si>
  <si>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</si>
  <si>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</si>
  <si>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</si>
  <si>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</si>
  <si>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</si>
  <si>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</si>
  <si>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</si>
  <si>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</si>
  <si>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</si>
  <si>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</si>
  <si>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</si>
  <si>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</si>
  <si>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</si>
  <si>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</si>
  <si>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</si>
  <si>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</si>
  <si>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</si>
  <si>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</si>
  <si>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</si>
  <si>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</si>
  <si>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</si>
  <si>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</si>
  <si>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</si>
  <si>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</si>
  <si>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</si>
  <si>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</si>
  <si>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</si>
  <si>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</si>
  <si>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</si>
  <si>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</si>
  <si>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</si>
  <si>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</si>
  <si>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</si>
  <si>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</si>
  <si>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</si>
  <si>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</si>
  <si>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</si>
  <si>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</si>
  <si>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</si>
  <si>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</si>
  <si>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</si>
  <si>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</si>
  <si>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</si>
  <si>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</si>
  <si>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</si>
  <si>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</si>
  <si>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</si>
  <si>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</si>
  <si>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</si>
  <si>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</si>
  <si>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</si>
  <si>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</si>
  <si>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</si>
  <si>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</si>
  <si>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</si>
  <si>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</si>
  <si>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</si>
  <si>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</si>
  <si>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</si>
  <si>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</si>
  <si>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</si>
  <si>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</si>
  <si>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</si>
  <si>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</si>
  <si>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</si>
  <si>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</si>
  <si>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</si>
  <si>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</si>
  <si>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</si>
  <si>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</si>
  <si>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</si>
  <si>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</si>
  <si>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</si>
  <si>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</si>
  <si>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</si>
  <si>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</si>
  <si>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</si>
  <si>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</si>
  <si>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</si>
  <si>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</si>
  <si>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</si>
  <si>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</si>
  <si>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</si>
  <si>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</si>
  <si>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</si>
  <si>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</si>
  <si>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</si>
  <si>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</si>
  <si>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</si>
  <si>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</si>
  <si>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</si>
  <si>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</si>
  <si>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</si>
  <si>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</si>
  <si>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</si>
  <si>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</si>
  <si>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</si>
  <si>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</si>
  <si>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</si>
  <si>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</si>
  <si>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</si>
  <si>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</si>
  <si>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</si>
  <si>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</si>
  <si>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</si>
  <si>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</si>
  <si>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</si>
  <si>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</si>
  <si>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</si>
  <si>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</si>
  <si>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</si>
  <si>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</si>
  <si>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</si>
  <si>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</si>
  <si>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</si>
  <si>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</si>
  <si>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</si>
  <si>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</si>
  <si>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</si>
  <si>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</si>
  <si>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</si>
  <si>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</si>
  <si>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</si>
  <si>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</si>
  <si>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</si>
  <si>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</si>
  <si>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</si>
  <si>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</si>
  <si>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</si>
  <si>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</si>
  <si>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</si>
  <si>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</si>
  <si>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</si>
  <si>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</si>
  <si>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</si>
  <si>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</si>
  <si>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</si>
  <si>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</si>
  <si>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</si>
  <si>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</si>
  <si>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</si>
  <si>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</si>
  <si>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</si>
  <si>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</si>
  <si>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</si>
  <si>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</si>
  <si>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</si>
  <si>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</si>
  <si>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</si>
  <si>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</si>
  <si>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</si>
  <si>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</si>
  <si>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</si>
  <si>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</si>
  <si>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</si>
  <si>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</si>
  <si>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</si>
  <si>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</si>
  <si>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</si>
  <si>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</si>
  <si>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</si>
  <si>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</si>
  <si>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</si>
  <si>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</si>
  <si>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</si>
  <si>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</si>
  <si>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</si>
  <si>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</si>
  <si>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</si>
  <si>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</si>
  <si>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</si>
  <si>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</si>
  <si>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</si>
  <si>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</si>
  <si>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</si>
  <si>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</si>
  <si>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</si>
  <si>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</si>
  <si>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</si>
  <si>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</si>
  <si>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</si>
  <si>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</si>
  <si>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</si>
  <si>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</si>
  <si>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</si>
  <si>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</si>
  <si>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</si>
  <si>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</si>
  <si>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</si>
  <si>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</si>
  <si>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</si>
  <si>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</si>
  <si>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</si>
  <si>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</si>
  <si>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</si>
  <si>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</si>
  <si>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</si>
  <si>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</si>
  <si>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</si>
  <si>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</si>
  <si>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</si>
  <si>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</si>
  <si>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</si>
  <si>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</si>
  <si>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</si>
  <si>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</si>
  <si>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</si>
  <si>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</si>
  <si>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</si>
  <si>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</si>
  <si>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</si>
  <si>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</si>
  <si>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</si>
  <si>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</si>
  <si>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</si>
  <si>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</si>
  <si>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</si>
  <si>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</si>
  <si>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</si>
  <si>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</si>
  <si>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</si>
  <si>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</si>
  <si>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</si>
  <si>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</si>
  <si>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</si>
  <si>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</si>
  <si>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</si>
  <si>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</si>
  <si>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</si>
  <si>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</si>
  <si>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</si>
  <si>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</si>
  <si>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</si>
  <si>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</si>
  <si>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</si>
  <si>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</si>
  <si>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</si>
  <si>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</si>
  <si>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</si>
  <si>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</si>
  <si>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</si>
  <si>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</si>
  <si>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</si>
  <si>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</si>
  <si>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</si>
  <si>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</si>
  <si>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</si>
  <si>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</si>
  <si>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</si>
  <si>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</si>
  <si>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</si>
  <si>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</si>
  <si>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</si>
  <si>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</si>
  <si>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</si>
  <si>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</si>
  <si>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</si>
  <si>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</si>
  <si>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</si>
  <si>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</si>
  <si>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</si>
  <si>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</si>
  <si>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</si>
  <si>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</si>
  <si>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</si>
  <si>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</si>
  <si>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</si>
  <si>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</si>
  <si>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</si>
  <si>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</si>
  <si>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</si>
  <si>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</si>
  <si>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</si>
  <si>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</si>
  <si>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</si>
  <si>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</si>
  <si>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</si>
  <si>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</si>
  <si>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</si>
  <si>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</si>
  <si>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</si>
  <si>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</si>
  <si>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</si>
  <si>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</si>
  <si>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</si>
  <si>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</si>
  <si>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</si>
  <si>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</si>
  <si>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</si>
  <si>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</si>
  <si>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</si>
  <si>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</si>
  <si>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</si>
  <si>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</si>
  <si>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</si>
  <si>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</si>
  <si>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</si>
  <si>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</si>
  <si>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</si>
  <si>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</si>
  <si>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</si>
  <si>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</si>
  <si>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</si>
  <si>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</si>
  <si>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</si>
  <si>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</si>
  <si>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</si>
  <si>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</si>
  <si>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</si>
  <si>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</si>
  <si>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</si>
  <si>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</si>
  <si>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</si>
  <si>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</si>
  <si>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</si>
  <si>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</si>
  <si>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</si>
  <si>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</si>
  <si>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</si>
  <si>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</si>
  <si>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</si>
  <si>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</si>
  <si>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</si>
  <si>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</si>
  <si>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</si>
  <si>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</si>
  <si>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</si>
  <si>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</si>
  <si>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</si>
  <si>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</si>
  <si>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</si>
  <si>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</si>
  <si>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</si>
  <si>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</si>
  <si>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</si>
  <si>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</si>
  <si>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</si>
  <si>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</si>
  <si>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</si>
  <si>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</si>
  <si>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</si>
  <si>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</si>
  <si>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</si>
  <si>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</si>
  <si>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</si>
  <si>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</si>
  <si>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</si>
  <si>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</si>
  <si>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</si>
  <si>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</si>
  <si>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</si>
  <si>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</si>
  <si>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</si>
  <si>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</si>
  <si>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</si>
  <si>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</si>
  <si>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</si>
  <si>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</si>
  <si>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</si>
  <si>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</si>
  <si>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</si>
  <si>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</si>
  <si>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</si>
  <si>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</si>
  <si>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</si>
  <si>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</si>
  <si>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</si>
  <si>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</si>
  <si>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</si>
  <si>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</si>
  <si>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</si>
  <si>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</si>
  <si>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</si>
  <si>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</si>
  <si>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</si>
  <si>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</si>
  <si>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</si>
  <si>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</si>
  <si>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</si>
  <si>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</si>
  <si>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</si>
  <si>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</si>
  <si>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</si>
  <si>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</si>
  <si>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</si>
  <si>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</si>
  <si>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</si>
  <si>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</si>
  <si>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</si>
  <si>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</si>
  <si>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</si>
  <si>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</si>
  <si>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</si>
  <si>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User ID</t>
  </si>
  <si>
    <t>Sentiment List#1</t>
  </si>
  <si>
    <t>Sentiment List#2</t>
  </si>
  <si>
    <t>Sentiment List#3</t>
  </si>
  <si>
    <t>Words in Sentiment List#1</t>
  </si>
  <si>
    <t>Words in Sentiment List#2</t>
  </si>
  <si>
    <t>Words in Sentiment List#3</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</si>
  <si>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</si>
  <si>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</si>
  <si>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</si>
  <si>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</si>
  <si>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</si>
  <si>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</si>
  <si>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</si>
  <si>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</si>
  <si>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</si>
  <si>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</si>
  <si>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</si>
  <si>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</si>
  <si>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</si>
  <si>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</si>
  <si>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</si>
  <si>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</si>
  <si>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</si>
  <si>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</si>
  <si>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</si>
  <si>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</si>
  <si>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</si>
  <si>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</si>
  <si>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</si>
  <si>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</si>
  <si>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</si>
  <si>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</si>
  <si>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</si>
  <si>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</si>
  <si>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</si>
  <si>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</si>
  <si>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</si>
  <si>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</si>
  <si>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</si>
  <si>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</si>
  <si>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</si>
  <si>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</si>
  <si>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</si>
  <si>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</si>
  <si>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</si>
  <si>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</si>
  <si>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</si>
  <si>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</si>
  <si>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</si>
  <si>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</si>
  <si>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</si>
  <si>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</si>
  <si>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</si>
  <si>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</si>
  <si>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</si>
  <si>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</si>
  <si>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</si>
  <si>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</si>
  <si>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</si>
  <si>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</si>
  <si>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</si>
  <si>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Green</t>
  </si>
  <si>
    <t>Red</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</si>
  <si>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</si>
  <si>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</si>
  <si>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</si>
  <si>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</si>
  <si>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</si>
  <si>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</si>
  <si>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</si>
  <si>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</si>
  <si>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</si>
  <si>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</si>
  <si>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</si>
  <si>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</si>
  <si>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</si>
  <si>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</si>
  <si>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</si>
  <si>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</si>
  <si>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</si>
  <si>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</si>
  <si>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</si>
  <si>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</si>
  <si>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</si>
  <si>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</si>
  <si>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</si>
  <si>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</si>
  <si>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</si>
  <si>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</si>
  <si>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</si>
  <si>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</si>
  <si>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</si>
  <si>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</si>
  <si>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</si>
  <si>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</si>
  <si>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</si>
  <si>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</si>
  <si>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</si>
  <si>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</si>
  <si>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</si>
  <si>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</si>
  <si>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</si>
  <si>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</si>
  <si>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</si>
  <si>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</si>
  <si>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</si>
  <si>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</si>
  <si>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</si>
  <si>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</si>
  <si>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</si>
  <si>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</si>
  <si>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</si>
  <si>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</si>
  <si>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</si>
  <si>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</si>
  <si>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</si>
  <si>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</si>
  <si>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</si>
  <si>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</si>
  <si>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</si>
  <si>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</si>
  <si>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</si>
  <si>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</si>
  <si>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</si>
  <si>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</si>
  <si>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</si>
  <si>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</si>
  <si>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</si>
  <si>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</si>
  <si>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</si>
  <si>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</si>
  <si>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</si>
  <si>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</si>
  <si>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</si>
  <si>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</si>
  <si>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</si>
  <si>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</si>
  <si>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</si>
  <si>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</si>
  <si>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</si>
  <si>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</si>
  <si>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</si>
  <si>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</si>
  <si>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</si>
  <si>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</si>
  <si>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</si>
  <si>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</si>
  <si>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</si>
  <si>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</si>
  <si>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</si>
  <si>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</si>
  <si>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G3</t>
  </si>
  <si>
    <t>G4</t>
  </si>
  <si>
    <t>G5</t>
  </si>
  <si>
    <t>G6</t>
  </si>
  <si>
    <t>G7</t>
  </si>
  <si>
    <t>G8</t>
  </si>
  <si>
    <t>G9</t>
  </si>
  <si>
    <t>G10</t>
  </si>
  <si>
    <t>G11</t>
  </si>
  <si>
    <t>G12</t>
  </si>
  <si>
    <t>G13</t>
  </si>
  <si>
    <t>G14</t>
  </si>
  <si>
    <t>0, 100, 50</t>
  </si>
  <si>
    <t>0, 176, 22</t>
  </si>
  <si>
    <t>191, 0, 0</t>
  </si>
  <si>
    <t>230, 120, 0</t>
  </si>
  <si>
    <t>255, 191, 0</t>
  </si>
  <si>
    <t>150, 200, 0</t>
  </si>
  <si>
    <t>200, 0, 120</t>
  </si>
  <si>
    <t>77, 0, 96</t>
  </si>
  <si>
    <t>91, 0, 191</t>
  </si>
  <si>
    <t>0, 98, 130</t>
  </si>
  <si>
    <t>Not Applicable</t>
  </si>
  <si>
    <t>Top URLs in Tweet in G3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</si>
  <si>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</si>
  <si>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</si>
  <si>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</si>
  <si>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</si>
  <si>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</si>
  <si>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</si>
  <si>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</si>
  <si>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</si>
  <si>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</si>
  <si>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</si>
  <si>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</si>
  <si>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</si>
  <si>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</si>
  <si>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</si>
  <si>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</si>
  <si>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</si>
  <si>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</si>
  <si>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</si>
  <si>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</si>
  <si>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</si>
  <si>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</si>
  <si>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</si>
  <si>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</si>
  <si>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</si>
  <si>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</si>
  <si>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</si>
  <si>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</si>
  <si>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</si>
  <si>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</si>
  <si>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</si>
  <si>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</si>
  <si>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</si>
  <si>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</si>
  <si>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</si>
  <si>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</si>
  <si>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</si>
  <si>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</si>
  <si>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</si>
  <si>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</si>
  <si>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</si>
  <si>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</si>
  <si>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</si>
  <si>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</si>
  <si>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</si>
  <si>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</si>
  <si>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</si>
  <si>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</si>
  <si>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</si>
  <si>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</si>
  <si>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</si>
  <si>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</si>
  <si>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</si>
  <si>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</si>
  <si>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</si>
  <si>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</si>
  <si>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</si>
  <si>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</si>
  <si>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</si>
  <si>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</si>
  <si>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</si>
  <si>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</si>
  <si>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</si>
  <si>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</si>
  <si>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G3</t>
  </si>
  <si>
    <t>Top Tweeters in G4</t>
  </si>
  <si>
    <t>Top Tweeters in G5</t>
  </si>
  <si>
    <t>Top Tweeters in G6</t>
  </si>
  <si>
    <t>Top Tweeters in G7</t>
  </si>
  <si>
    <t>Top Tweeters in G8</t>
  </si>
  <si>
    <t>Top Tweeters in G9</t>
  </si>
  <si>
    <t>Top Tweeters in G10</t>
  </si>
  <si>
    <t>39, 108, 0</t>
  </si>
  <si>
    <t>20, 118, 0</t>
  </si>
  <si>
    <t>jeremyl</t>
  </si>
  <si>
    <t>jeremyl_20</t>
  </si>
  <si>
    <t>ccooke6685</t>
  </si>
  <si>
    <t>louiselyons_</t>
  </si>
  <si>
    <t>jeremyl75946562</t>
  </si>
  <si>
    <t>jeremyl72410226</t>
  </si>
  <si>
    <t>hfaxcjqrmpttxou</t>
  </si>
  <si>
    <t>jeremyl78036806</t>
  </si>
  <si>
    <t>rahsh33m</t>
  </si>
  <si>
    <t>tdflakes</t>
  </si>
  <si>
    <t>jeremyl12866</t>
  </si>
  <si>
    <t>jeremyl21457481</t>
  </si>
  <si>
    <t>49ers</t>
  </si>
  <si>
    <t>nbcs49ers</t>
  </si>
  <si>
    <t>nassimretiere</t>
  </si>
  <si>
    <t>jeremylammert79</t>
  </si>
  <si>
    <t>bitgetglobal</t>
  </si>
  <si>
    <t>jeremyl2p41</t>
  </si>
  <si>
    <t>jiandevision</t>
  </si>
  <si>
    <t>savichtakes</t>
  </si>
  <si>
    <t>jeremyl_7</t>
  </si>
  <si>
    <t>crypto_qianxun</t>
  </si>
  <si>
    <t>jeremyl99313994</t>
  </si>
  <si>
    <t>bearbig</t>
  </si>
  <si>
    <t>ftium4</t>
  </si>
  <si>
    <t>jackywine</t>
  </si>
  <si>
    <t>gia917229015</t>
  </si>
  <si>
    <t>punk2898</t>
  </si>
  <si>
    <t>hitw93</t>
  </si>
  <si>
    <t>kieronfish</t>
  </si>
  <si>
    <t>_akhaliq</t>
  </si>
  <si>
    <t>instigator_h</t>
  </si>
  <si>
    <t>mimitheblogger</t>
  </si>
  <si>
    <t>plantegg</t>
  </si>
  <si>
    <t>csyangchsh</t>
  </si>
  <si>
    <t>jeremyl51357386</t>
  </si>
  <si>
    <t>jl_chapman</t>
  </si>
  <si>
    <t>popculture2000s</t>
  </si>
  <si>
    <t>business</t>
  </si>
  <si>
    <t>jokozlowski</t>
  </si>
  <si>
    <t>effiedog</t>
  </si>
  <si>
    <t>nebraskasower</t>
  </si>
  <si>
    <t>jaximperator</t>
  </si>
  <si>
    <t>antothenio</t>
  </si>
  <si>
    <t>g29cie3xev6p0yu</t>
  </si>
  <si>
    <t>youtube</t>
  </si>
  <si>
    <t>wiyo4</t>
  </si>
  <si>
    <t>xuemanzi8848</t>
  </si>
  <si>
    <t>whlamei</t>
  </si>
  <si>
    <t>maoshen04</t>
  </si>
  <si>
    <t>nicoleevien_</t>
  </si>
  <si>
    <t>aocpresstwo</t>
  </si>
  <si>
    <t>elonmuskaoc</t>
  </si>
  <si>
    <t>michaelbathurst</t>
  </si>
  <si>
    <t>kattenbarge</t>
  </si>
  <si>
    <t>the_romaarmy</t>
  </si>
  <si>
    <t>rickawsb</t>
  </si>
  <si>
    <t>readwise</t>
  </si>
  <si>
    <t>elonmusk</t>
  </si>
  <si>
    <t>insidehighered</t>
  </si>
  <si>
    <t>nytimes</t>
  </si>
  <si>
    <t>carscurious</t>
  </si>
  <si>
    <t>ap</t>
  </si>
  <si>
    <t>bessemervp</t>
  </si>
  <si>
    <t>Retweet</t>
  </si>
  <si>
    <t>Replies to</t>
  </si>
  <si>
    <t>MentionsInReplyTo</t>
  </si>
  <si>
    <t>Mentions</t>
  </si>
  <si>
    <t>Quote</t>
  </si>
  <si>
    <t>MentionsInRetweet</t>
  </si>
  <si>
    <t>This reminds me of the surveys right after the 08/09 financial crisis which showed the average homeowner believed house values were way down almost everywhere except, of course, for their own house which was holding its value just fine. https://t.co/QiCUu8SLE3</t>
  </si>
  <si>
    <t>RT @PopCulture2000s: EVERYTHING KEEPS COSTING MONEY https://t.co/KSjP65ttra</t>
  </si>
  <si>
    <t>@JoKozlowski @JeremyHL @NebraskaSower @effiedog @JaxImperator You're welcome, Jo!!</t>
  </si>
  <si>
    <t>@JaxImperator @JeremyHL @NebraskaSower @effiedog @JoKozlowski You're welcome, Peter!!</t>
  </si>
  <si>
    <t>_xD83D__xDE4F__xD83C__xDFFE_ Sending heartfelt prayers to the people of Morocco _xD83C__xDDF2__xD83C__xDDE6_ during these challenging times. Thinking especially of my friend @Antothenio</t>
  </si>
  <si>
    <t>@g29CIe3Xev6p0yU 认识吗</t>
  </si>
  <si>
    <t>@Wiyo4 @YouTube 我喜欢李志的歌 哈哈</t>
  </si>
  <si>
    <t>@xuemanzi8848 红岩村 多么熟悉的名字</t>
  </si>
  <si>
    <t>@maoshen04 @WHlamei 牟其中？？？？？？？？</t>
  </si>
  <si>
    <t>有m吗 #南宁 https://t.co/skKLOimJIA</t>
  </si>
  <si>
    <t>@nicoleevien_ Jolie petit luc _xD83E__xDD70__xD83D__xDE0D__xD83E__xDD70__xD83E__xDD70__xD83D__xDE3B_</t>
  </si>
  <si>
    <t>Lil man’s face_xD83D__xDE2D__xD83E__xDD23__xD83E__xDD23__xD83E__xDD23_ https://t.co/HrUiIRr9Ml</t>
  </si>
  <si>
    <t>He lost a role model</t>
  </si>
  <si>
    <t>Have you bought your copy yet! https://t.co/92YxHZ9htU</t>
  </si>
  <si>
    <t>@AOCpressTwo Not surprising for you to say. just surprised you ever were elected</t>
  </si>
  <si>
    <t>@AOCpressTwo Then you get it and don’t worry about me.</t>
  </si>
  <si>
    <t>All the signings today _xD83C__xDFC8_✍️
Repost for the chance to win! 
No purchase necessary. Official rules: https://t.co/9R3WqqzRZm https://t.co/QHBcR3CVEm</t>
  </si>
  <si>
    <t>RT @49ers: All the signings today _xD83C__xDFC8_✍️
Repost for the chance to win! 
No purchase necessary. Official rules: https://t.co/9R3WqqzRZm https…</t>
  </si>
  <si>
    <t>@ElonMuskAOC Seek out the best advisers, financial planners and attorneys and not tell anyone that I know</t>
  </si>
  <si>
    <t>@ElonMuskAOC Everyone knows the mainstream media is full of shit.  Bought and paid for only</t>
  </si>
  <si>
    <t>@ElonMuskAOC Yes</t>
  </si>
  <si>
    <t>RT @NBCS49ers: Starting off the season with a W _xD83D__xDE24_ https://t.co/dGpw8wdi2k</t>
  </si>
  <si>
    <t>RT @JL_Chapman: Steelers fans: “49ers are going to find out.”
Also Steelers fans:
 https://t.co/r3iVbpfxK4</t>
  </si>
  <si>
    <t>Starting off the season with a W _xD83D__xDE24_ https://t.co/dGpw8wdi2k</t>
  </si>
  <si>
    <t>https://t.co/qn0SL3egZS @JeremyHL @michaelbathurst</t>
  </si>
  <si>
    <t>RT @NassimRETIERE: https://t.co/qn0SL3egZS @JeremyHL @michaelbathurst</t>
  </si>
  <si>
    <t>@The_RomaArmy @kattenbarge They want her number? Lady, we've got your number. Keep up the good work Chloe!</t>
  </si>
  <si>
    <t>_xD83D__xDD25_ #KCGI2023 is now kicking off on #Bitget!
_xD83D__xDE81_ Gear up to win 2,650,000 $USDT and even a helicopter!
⏰ Registration sets off: August 18, 2 AM (UTC)
➡️ Join now: https://t.co/JGkyveweUS https://t.co/7ZYZA9GQ1o</t>
  </si>
  <si>
    <t>RT @bitgetglobal: _xD83D__xDD25_ #KCGI2023 is now kicking off on #Bitget!
_xD83D__xDE81_ Gear up to win 2,650,000 $USDT and even a helicopter!
⏰ Registration sets…</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</si>
  <si>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</si>
  <si>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RT @JiandeVision: Shiling Village in #Jiande, #Hangzhou has a long #history, profound #culture and beautiful #scenery, attracting a large n…</t>
  </si>
  <si>
    <t>RT @business: Top consulting firms from Bain to Deloitte are offering new grads stipends for their delayed start dates</t>
  </si>
  <si>
    <t>The original version of Kendrick Lamar’s ELEMENT. has leaked, including a scrapped verse in which he takes direct shots at the likes of Drake, Big Sean, French Montana, Meek Mill and Jay Electronica _xD83E__xDD2F_ https://t.co/z17z48U34C</t>
  </si>
  <si>
    <t>RT @SaVichTakes: The original version of Kendrick Lamar’s ELEMENT. has leaked, including a scrapped verse in which he takes direct shots at…</t>
  </si>
  <si>
    <t>RT @tdflakes: He lost a role model</t>
  </si>
  <si>
    <t>RT @mimitheblogger: M huncho project &amp;gt;&amp;gt;&amp;gt;&amp;gt;
Perfect weather for it</t>
  </si>
  <si>
    <t>RT @mimitheblogger: Mandy organised it</t>
  </si>
  <si>
    <t>RT @kieronFish: He likkle man’d the whole U.K. _xD83D__xDE02_ https://t.co/EghZNYzovh</t>
  </si>
  <si>
    <t>有小伙伴问我从哪里搜索免费的电影资源，我统计了 18 个神仙影视网站，这些都是免费贼好用的，有需要的可以收藏一下
链接：https://t.co/nQGTNX9swU https://t.co/G9crC0lkzI</t>
  </si>
  <si>
    <t>RT @Crypto_QianXun: 有小伙伴问我从哪里搜索免费的电影资源，我统计了 18 个神仙影视网站，这些都是免费贼好用的，有需要的可以收藏一下
链接：https://t.co/nQGTNX9swU https://t.co/G9crC0lkzI</t>
  </si>
  <si>
    <t>@Crypto_QianXun @readwise save thread</t>
  </si>
  <si>
    <t>浏览器里输入地址后，发生了些什么。这图很详细了。
如果是accessibility（比如盲人用的screen reader），还要加一层东西。
现代互联网的确是伟大的工程。 https://t.co/KW57ySwlbl</t>
  </si>
  <si>
    <t>RT @bearbig: 浏览器里输入地址后，发生了些什么。这图很详细了。
如果是accessibility（比如盲人用的screen reader），还要加一层东西。
现代互联网的确是伟大的工程。 https://t.co/KW57ySwlbl</t>
  </si>
  <si>
    <t>@bearbig @readwise save thread</t>
  </si>
  <si>
    <t>OpenAI 品牌指南
链接：https://t.co/FnbEms2Gc0
一共 108 页，对 Logo、颜色、图标、配图、可视化图表都想详细的说明。 https://t.co/1CxWNPqzbe</t>
  </si>
  <si>
    <t>RT @ftium4: OpenAI 品牌指南
链接：https://t.co/FnbEms2Gc0
一共 108 页，对 Logo、颜色、图标、配图、可视化图表都想详细的说明。 https://t.co/1CxWNPqzbe</t>
  </si>
  <si>
    <t>@ftium4 @readwise save thread</t>
  </si>
  <si>
    <t>#Jacky用户体验
小组里很多同事不会 Figma？
快把这套教程介绍给他们
这里是
草帽老师figma 教学视频汇总
figma 新手教学，看完就能超过99%的设计师 https://t.co/Vj59DbAmGA https://t.co/Sjm4yrN8Sm</t>
  </si>
  <si>
    <t>RT @Jackywine: #Jacky用户体验
小组里很多同事不会 Figma？
快把这套教程介绍给他们
这里是
草帽老师figma 教学视频汇总
figma 新手教学，看完就能超过99%的设计师 https://t.co/Vj59DbAmGA https://t.co…</t>
  </si>
  <si>
    <t>@Jackywine @readwise save thread</t>
  </si>
  <si>
    <t>强烈推荐的一本书 《Efficient Linux at the Command Line》 好久没读过这么畅快的书了，shell 编程还是得系统学。</t>
  </si>
  <si>
    <t>RT @GIA917229015: 强烈推荐的一本书 《Efficient Linux at the Command Line》 好久没读过这么畅快的书了，shell 编程还是得系统学。</t>
  </si>
  <si>
    <t>@GIA917229015 @readwise save thread</t>
  </si>
  <si>
    <t>@rickawsb @readwise save thread</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</si>
  <si>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</si>
  <si>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@punk2898 @readwise save thread</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</si>
  <si>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</si>
  <si>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@HiTw93 @readwise save thread</t>
  </si>
  <si>
    <t>@_akhaliq @readwise save thread</t>
  </si>
  <si>
    <t>@plantegg @readwise save thread</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</si>
  <si>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</si>
  <si>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#工程师学习 Michael Simmons 的一篇「信息茧房自救指南」，非常适合当今信息过剩的情况下阅读，对于一个手机上没有抖音快手，没有新闻软件的人来说直呼好好好，从 #参考答案 看到。…</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</si>
  <si>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</si>
  <si>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RT @HiTw93: #工程师学习 Michael Simmons 的一篇「信息茧房自救指南」，非常适合当今信息过剩的情况下阅读，对于一个手机上没有抖音快手，没有新闻软件的人来说直呼好好好，从 #参考答案 看到。…</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</si>
  <si>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</si>
  <si>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</si>
  <si>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RT @_akhaliq: GPT Can Solve Mathematical Problems Without a Calculator
paper page: https://t.co/PayMhNwodG
Previous studies have typicall…</t>
  </si>
  <si>
    <t>RT @plantegg: 既然如此我还是推荐你们看我的小抄吧，我自己每次都是先去小抄里find一下，没有的再去Google  https://t.co/A4L8U24KKR https://t.co/74CrkAiIvP</t>
  </si>
  <si>
    <t>He likkle man’d the whole U.K. _xD83D__xDE02_ https://t.co/EghZNYzovh</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</si>
  <si>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</si>
  <si>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It’s all going off in Peckham _xD83D__xDE2C__xD83D__xDE2C__xD83D__xDE2C_ https://t.co/l4vJvqSN6p</t>
  </si>
  <si>
    <t>Mandy organised it</t>
  </si>
  <si>
    <t>M huncho project &amp;gt;&amp;gt;&amp;gt;&amp;gt;
Perfect weather for it</t>
  </si>
  <si>
    <t>既然如此我还是推荐你们看我的小抄吧，我自己每次都是先去小抄里find一下，没有的再去Google  https://t.co/A4L8U24KKR https://t.co/74CrkAiIvP</t>
  </si>
  <si>
    <t>@plantegg 同感，我一般会把实用的命令记下来。如果很长，用的时候就直接复制粘贴。</t>
  </si>
  <si>
    <t>RT @louiselyons_: _xD83D__xDE4F__xD83C__xDFFE_ Sending heartfelt prayers to the people of Morocco _xD83C__xDDF2__xD83C__xDDE6_ during these challenging times. Thinking especially of my friend…</t>
  </si>
  <si>
    <t>X’s @elonmusk has been called a dangerous anti-semite in his battle with the ADL. 
https://t.co/bCecx0oWvM</t>
  </si>
  <si>
    <t>“Some of the largest increases in socioeconomic diversity are happening at universities that don’t boast multibillion-dollar endowments” ( ⁦@insidehighered⁩ ). #highered  https://t.co/xpsObQAnsg</t>
  </si>
  <si>
    <t>“The effort by Senators Richard Blumenthal and Josh Hawley is the latest move by lawmakers to catch up with the rapidly evolving technology.” ( ⁦@nytimes⁩ ). #smc2024 #SMProfs  https://t.co/nZ1hihxVL8</t>
  </si>
  <si>
    <t>@CarsCurious I love the 1962 Thunderbird! _xD83D__xDC4F__xD83C__xDFFB_ https://t.co/eaW6xo4iwi</t>
  </si>
  <si>
    <t>“The list of do’s and don’ts seeks to prevent tech giants from cornering digital markets, with the threat of whopping fines or even forcing companies to sell of parts of their business to operate in Europe” ( @AP ). #smc2024  https://t.co/GcpsZkgQxY</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</si>
  <si>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</si>
  <si>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“The Boss is taking an unexpected breather and postponing his September shows, citing doctors’ orders” ( @AP ).  https://t.co/AYR4MXVvH4</t>
  </si>
  <si>
    <t>“A rare, powerful earthquake struck Morocco late Friday night, killing more than 800 people and damaging buildings from villages in the Atlas Mountains to the historic city of Marrakech” ( ⁦@AP⁩ ). #earthquake #Morocco  https://t.co/7CqziDjQh9</t>
  </si>
  <si>
    <t>“In a video posted on Instagram, Kutcher and Kunis said they were sorry for the pain they may have caused with the letters, which were made public Friday” ( @AP ). #PRProfs  https://t.co/XtQmJv1k9y</t>
  </si>
  <si>
    <t>“Few people in Iowa knew about its status as a birthplace of OpenAI’s most advanced large language model, GPT-4, before a top Microsoft executive said in a speech it ‘was literally made next to cornfields west of Des Moines’” ( @AP ). #AI #smc2024 https://t.co/Cx0iaAMVW1</t>
  </si>
  <si>
    <t>“Los Angeles Superior Court Judge Charlaine F. Olmedo handed down the sentence to the 47-year-old Masterson after hearing statements from the women, and pleas for fairness from defense attorneys” ( @AP ). https://t.co/0ICISrD2o3</t>
  </si>
  <si>
    <t>“A government watchdog agency in France has ordered Apple to withdraw the iPhone 12 from the French market, saying it emits levels of electromagnetic radiation that are too high” ( ⁦@AP⁩ ). #tech #law https://t.co/jvCwxY16ot</t>
  </si>
  <si>
    <t>“The maker of an extremely spicy tortilla chip sold as the One Chip Challenge and popularized as a dare on social media is pulling the product after the family of a Massachusetts teenager blamed the stunt for his death” ( @AP ). #SMProfs #smc2024  https://t.co/Et7Xj0Y3JM</t>
  </si>
  <si>
    <t>“AI-generated election ads on YouTube and other Google platforms that alter people or events must include a clear disclaimer located somewhere that users are likely to notice, the company said in an update this week…” ( @AP ). #AI #smc2024 #SMProfs  https://t.co/UISfBpbDTA</t>
  </si>
  <si>
    <t>“A federal appeals court Friday significantly whittled down a lower court’s order curbing Biden administration communications with social media companies over controversial content about COVID-19 and other issues” ( ⁦@AP⁩ ). #smc2024 #SMProfs  https://t.co/U2fdMnzLCR</t>
  </si>
  <si>
    <t>“Nikki Menard left her job at the direction of school administrators this spring after a lesson on Alexander Hamilton turned to discussions of slavery and racism” (Nebraska Examiner).  https://t.co/pHgK6kiiV6</t>
  </si>
  <si>
    <t>Beth Trejo: Social Media is Search https://t.co/Dfh6ZcH38R 
#smc2024 #SMProfs https://t.co/9S1sghSzkS</t>
  </si>
  <si>
    <t>Steelers fans: “49ers are going to find out.”
Also Steelers fans:
 https://t.co/r3iVbpfxK4</t>
  </si>
  <si>
    <t>EVERYTHING KEEPS COSTING MONEY https://t.co/KSjP65ttra</t>
  </si>
  <si>
    <t>Top consulting firms from Bain to Deloitte are offering new grads stipends for their delayed start dates</t>
  </si>
  <si>
    <t>Free "classes" on SaaS finance from my colleagues @BessemerVP: https://t.co/Q9NTbPBTFl</t>
  </si>
  <si>
    <t>南宁</t>
  </si>
  <si>
    <t>kcgi2023 bitget</t>
  </si>
  <si>
    <t>jiande hangzhou history culture scenery nature</t>
  </si>
  <si>
    <t>jiande hangzhou history culture scenery</t>
  </si>
  <si>
    <t>jacky用户体验</t>
  </si>
  <si>
    <t>工程师学习</t>
  </si>
  <si>
    <t>工程师学习 参考答案</t>
  </si>
  <si>
    <t>工程师工具</t>
  </si>
  <si>
    <t>highered</t>
  </si>
  <si>
    <t>smc2024 smprofs</t>
  </si>
  <si>
    <t>smc2024</t>
  </si>
  <si>
    <t>earthquake morocco</t>
  </si>
  <si>
    <t>prprofs</t>
  </si>
  <si>
    <t>ai smc2024</t>
  </si>
  <si>
    <t>tech law</t>
  </si>
  <si>
    <t>smprofs smc2024</t>
  </si>
  <si>
    <t>ai smc2024 smprofs</t>
  </si>
  <si>
    <t>nytimes.com</t>
  </si>
  <si>
    <t>fb.watch</t>
  </si>
  <si>
    <t>49rs.co</t>
  </si>
  <si>
    <t>x.com</t>
  </si>
  <si>
    <t>bitget.com</t>
  </si>
  <si>
    <t>feishu.cn</t>
  </si>
  <si>
    <t>area17.com</t>
  </si>
  <si>
    <t>craft.me</t>
  </si>
  <si>
    <t>bookstash.io</t>
  </si>
  <si>
    <t>thorium.rocks</t>
  </si>
  <si>
    <t>huggingface.co</t>
  </si>
  <si>
    <t>github.io</t>
  </si>
  <si>
    <t>cjr.org</t>
  </si>
  <si>
    <t>insidehighered.com</t>
  </si>
  <si>
    <t>apnews.com</t>
  </si>
  <si>
    <t>nebraskaexaminer.com</t>
  </si>
  <si>
    <t>linkedin.com</t>
  </si>
  <si>
    <t>bessemervp.team</t>
  </si>
  <si>
    <t>jokozlowski jeremyhl nebraskasower effiedog jaximperator</t>
  </si>
  <si>
    <t>jaximperator jeremyhl nebraskasower effiedog jokozlowski</t>
  </si>
  <si>
    <t>wiyo4 youtube</t>
  </si>
  <si>
    <t>maoshen04 whlamei</t>
  </si>
  <si>
    <t>jeremyhl michaelbathurst</t>
  </si>
  <si>
    <t>nassimretiere jeremyhl michaelbathurst</t>
  </si>
  <si>
    <t>the_romaarmy kattenbarge</t>
  </si>
  <si>
    <t>crypto_qianxun readwise</t>
  </si>
  <si>
    <t>bearbig readwise</t>
  </si>
  <si>
    <t>ftium4 readwise</t>
  </si>
  <si>
    <t>jackywine readwise</t>
  </si>
  <si>
    <t>gia917229015 readwise</t>
  </si>
  <si>
    <t>rickawsb readwise</t>
  </si>
  <si>
    <t>punk2898 readwise</t>
  </si>
  <si>
    <t>hitw93 readwise</t>
  </si>
  <si>
    <t>_akhaliq readwise</t>
  </si>
  <si>
    <t>plantegg readwise</t>
  </si>
  <si>
    <t>https://t.co/KSjP65ttra https://pbs.twimg.com/media/F5wMoS_WgAAwk_H.jpg</t>
  </si>
  <si>
    <t>https://t.co/skKLOimJIA https://t.co/skKLOimJIA https://t.co/skKLOimJIA https://pbs.twimg.com/media/F55tZ-ZaIAAWm2O.jpg https://pbs.twimg.com/media/F55tZ_kbMAAhfOG.jpg https://pbs.twimg.com/media/F55tZ-XacAAwz7r.jpg</t>
  </si>
  <si>
    <t>https://t.co/HrUiIRr9Ml https://pbs.twimg.com/amplify_video_thumb/1700677845616300032/img/V-JLTTiL2E_q1jAL.jpg</t>
  </si>
  <si>
    <t>https://t.co/QHBcR3CVEm https://pbs.twimg.com/media/F5jHd_JaMAAQo1G.jpg</t>
  </si>
  <si>
    <t>https://t.co/dGpw8wdi2k https://pbs.twimg.com/media/F5sJj-xawAAGRPv.jpg</t>
  </si>
  <si>
    <t>https://t.co/r3iVbpfxK4 https://pbs.twimg.com/media/F5rsW9zWkAA3rjG.jpg</t>
  </si>
  <si>
    <t>https://t.co/7ZYZA9GQ1o https://pbs.twimg.com/ext_tw_video_thumb/1692381493501534208/pu/img/qo2j3f67wOOQxj1L.jpg</t>
  </si>
  <si>
    <t>https://t.co/eqEeAdh8PJ https://t.co/eqEeAdh8PJ https://t.co/eqEeAdh8PJ https://t.co/eqEeAdh8PJ https://pbs.twimg.com/media/F5fmO_GasAAYrA4.jpg https://pbs.twimg.com/media/F5fmPEFb0AAdxrB.jpg https://pbs.twimg.com/media/F5fmPsea8AADe6t.jpg https://pbs.twimg.com/media/F5fmPM2aYAA-Y1X.jpg</t>
  </si>
  <si>
    <t>https://t.co/z17z48U34C https://t.co/z17z48U34C https://pbs.twimg.com/media/F5aGZ5KXUAAQfZk.jpg https://pbs.twimg.com/amplify_video_thumb/1699693688790622208/img/eFeVv4uC4QV3Doxp.jpg</t>
  </si>
  <si>
    <t>https://t.co/EghZNYzovh https://pbs.twimg.com/ext_tw_video_thumb/1701611202005352448/pu/img/cBVLuEF44szBP0_Y.jpg</t>
  </si>
  <si>
    <t>https://t.co/G9crC0lkzI https://pbs.twimg.com/media/F5ULPtaacAAp1Cp.jpg</t>
  </si>
  <si>
    <t>https://t.co/KW57ySwlbl https://pbs.twimg.com/amplify_video_thumb/1701176933286039552/img/H3mD95i2arZ9_NFS.jpg</t>
  </si>
  <si>
    <t>https://t.co/1CxWNPqzbe https://pbs.twimg.com/media/F5qyLhzaIAAUo3z.jpg</t>
  </si>
  <si>
    <t>https://t.co/Sjm4yrN8Sm https://pbs.twimg.com/media/F5be33FagAAep9F.jpg</t>
  </si>
  <si>
    <t>https://t.co/uixZJG6WbE https://pbs.twimg.com/amplify_video_thumb/1701896852130668544/img/GNibFR_laP1BMkzI.jpg</t>
  </si>
  <si>
    <t>https://t.co/eThdrgo7vN https://pbs.twimg.com/media/F5G7q12aQAAYAEp.jpg</t>
  </si>
  <si>
    <t>https://t.co/v0sO8gKcnH https://pbs.twimg.com/media/F53goAubwAAQLsB.jpg</t>
  </si>
  <si>
    <t>https://t.co/74CrkAiIvP https://t.co/74CrkAiIvP https://pbs.twimg.com/media/F5zPEdWakAA3C9C.jpg https://pbs.twimg.com/media/F5zPTkJbUAAvp0p.jpg</t>
  </si>
  <si>
    <t>https://t.co/CO0tRLrbS6 https://pbs.twimg.com/media/F5dwfAFWkAAHq_C.jpg</t>
  </si>
  <si>
    <t>https://t.co/l4vJvqSN6p https://pbs.twimg.com/ext_tw_video_thumb/1701597764197699584/pu/img/6aFuGbTJU-ZLRVWJ.jpg</t>
  </si>
  <si>
    <t>https://t.co/eaW6xo4iwi https://pbs.twimg.com/media/F5miWzlXAAEU-WV.jpg</t>
  </si>
  <si>
    <t>https://t.co/9S1sghSzkS https://pbs.twimg.com/media/F5ydfMwXYAAjcbv.jpg</t>
  </si>
  <si>
    <t>photo</t>
  </si>
  <si>
    <t>photo photo photo</t>
  </si>
  <si>
    <t>video</t>
  </si>
  <si>
    <t>photo photo photo photo</t>
  </si>
  <si>
    <t>photo video</t>
  </si>
  <si>
    <t>photo photo</t>
  </si>
  <si>
    <t>Twitter Web App</t>
  </si>
  <si>
    <t>Twitter for iPhone</t>
  </si>
  <si>
    <t>Twitter for Android</t>
  </si>
  <si>
    <t>Emplifi</t>
  </si>
  <si>
    <t>Twitter Media Studio</t>
  </si>
  <si>
    <t>Twitter for Advertisers</t>
  </si>
  <si>
    <t>en</t>
  </si>
  <si>
    <t>zh</t>
  </si>
  <si>
    <t>ja</t>
  </si>
  <si>
    <t>fr</t>
  </si>
  <si>
    <t>und</t>
  </si>
  <si>
    <t>qme</t>
  </si>
  <si>
    <t>20:13:56</t>
  </si>
  <si>
    <t>05:34:44</t>
  </si>
  <si>
    <t>01:46:11</t>
  </si>
  <si>
    <t>00:58:42</t>
  </si>
  <si>
    <t>07:00:01</t>
  </si>
  <si>
    <t>17:20:40</t>
  </si>
  <si>
    <t>17:04:45</t>
  </si>
  <si>
    <t>00:17:36</t>
  </si>
  <si>
    <t>04:37:14</t>
  </si>
  <si>
    <t>11:17:30</t>
  </si>
  <si>
    <t>13:20:05</t>
  </si>
  <si>
    <t>01:09:42</t>
  </si>
  <si>
    <t>13:10:40</t>
  </si>
  <si>
    <t>15:45:02</t>
  </si>
  <si>
    <t>16:29:13</t>
  </si>
  <si>
    <t>16:20:31</t>
  </si>
  <si>
    <t>02:00:06</t>
  </si>
  <si>
    <t>22:16:55</t>
  </si>
  <si>
    <t>16:16:17</t>
  </si>
  <si>
    <t>16:25:30</t>
  </si>
  <si>
    <t>16:22:59</t>
  </si>
  <si>
    <t>02:33:29</t>
  </si>
  <si>
    <t>02:32:47</t>
  </si>
  <si>
    <t>20:09:48</t>
  </si>
  <si>
    <t>09:22:50</t>
  </si>
  <si>
    <t>10:00:00</t>
  </si>
  <si>
    <t>19:52:27</t>
  </si>
  <si>
    <t>04:00:00</t>
  </si>
  <si>
    <t>17:21:08</t>
  </si>
  <si>
    <t>09:37:01</t>
  </si>
  <si>
    <t>17:21:22</t>
  </si>
  <si>
    <t>07:46:03</t>
  </si>
  <si>
    <t>07:59:08</t>
  </si>
  <si>
    <t>12:18:55</t>
  </si>
  <si>
    <t>12:22:15</t>
  </si>
  <si>
    <t>14:21:15</t>
  </si>
  <si>
    <t>19:27:12</t>
  </si>
  <si>
    <t>19:26:41</t>
  </si>
  <si>
    <t>04:20:00</t>
  </si>
  <si>
    <t>00:03:05</t>
  </si>
  <si>
    <t>00:03:10</t>
  </si>
  <si>
    <t>10:12:55</t>
  </si>
  <si>
    <t>23:19:26</t>
  </si>
  <si>
    <t>23:19:30</t>
  </si>
  <si>
    <t>13:44:02</t>
  </si>
  <si>
    <t>15:41:23</t>
  </si>
  <si>
    <t>15:41:57</t>
  </si>
  <si>
    <t>14:25:23</t>
  </si>
  <si>
    <t>04:13:49</t>
  </si>
  <si>
    <t>04:13:55</t>
  </si>
  <si>
    <t>00:29:50</t>
  </si>
  <si>
    <t>17:04:29</t>
  </si>
  <si>
    <t>11:03:54</t>
  </si>
  <si>
    <t>11:03:59</t>
  </si>
  <si>
    <t>00:02:22</t>
  </si>
  <si>
    <t>23:18:07</t>
  </si>
  <si>
    <t>10:05:09</t>
  </si>
  <si>
    <t>11:56:16</t>
  </si>
  <si>
    <t>11:55:36</t>
  </si>
  <si>
    <t>00:13:54</t>
  </si>
  <si>
    <t>03:46:39</t>
  </si>
  <si>
    <t>15:46:30</t>
  </si>
  <si>
    <t>04:28:16</t>
  </si>
  <si>
    <t>11:06:32</t>
  </si>
  <si>
    <t>23:58:00</t>
  </si>
  <si>
    <t>12:29:17</t>
  </si>
  <si>
    <t>01:03:15</t>
  </si>
  <si>
    <t>15:46:23</t>
  </si>
  <si>
    <t>03:46:33</t>
  </si>
  <si>
    <t>00:13:45</t>
  </si>
  <si>
    <t>04:28:08</t>
  </si>
  <si>
    <t>11:06:27</t>
  </si>
  <si>
    <t>14:59:02</t>
  </si>
  <si>
    <t>01:01:41</t>
  </si>
  <si>
    <t>14:07:33</t>
  </si>
  <si>
    <t>15:04:00</t>
  </si>
  <si>
    <t>11:22:31</t>
  </si>
  <si>
    <t>05:08:26</t>
  </si>
  <si>
    <t>04:48:50</t>
  </si>
  <si>
    <t>12:13:11</t>
  </si>
  <si>
    <t>14:37:44</t>
  </si>
  <si>
    <t>14:05:04</t>
  </si>
  <si>
    <t>04:31:36</t>
  </si>
  <si>
    <t>17:56:23</t>
  </si>
  <si>
    <t>13:04:47</t>
  </si>
  <si>
    <t>16:22:04</t>
  </si>
  <si>
    <t>05:15:54</t>
  </si>
  <si>
    <t>12:41:24</t>
  </si>
  <si>
    <t>13:09:51</t>
  </si>
  <si>
    <t>12:39:41</t>
  </si>
  <si>
    <t>01:49:02</t>
  </si>
  <si>
    <t>13:22:32</t>
  </si>
  <si>
    <t>13:02:41</t>
  </si>
  <si>
    <t>13:00:09</t>
  </si>
  <si>
    <t>12:43:43</t>
  </si>
  <si>
    <t>12:19:47</t>
  </si>
  <si>
    <t>01:30:34</t>
  </si>
  <si>
    <t>19:40:43</t>
  </si>
  <si>
    <t>14:57:40</t>
  </si>
  <si>
    <t>15:11:29</t>
  </si>
  <si>
    <t>18:37:57</t>
  </si>
  <si>
    <t>3_1701248645671059456</t>
  </si>
  <si>
    <t>3_1701918002206351360 3_1701918002520993792 3_1701918002197983232</t>
  </si>
  <si>
    <t>13_1700677845616300032</t>
  </si>
  <si>
    <t>3_1700328177313394688</t>
  </si>
  <si>
    <t>3_1700963798012837888</t>
  </si>
  <si>
    <t>13_1700931649897164801</t>
  </si>
  <si>
    <t>7_1692381493501534208</t>
  </si>
  <si>
    <t>3_1700080529486557184 3_1700080530824613888 3_1700080541666832384 3_1700080533177524224</t>
  </si>
  <si>
    <t>3_1699693688778084352 13_1699693688790622208</t>
  </si>
  <si>
    <t>7_1701611202005352448</t>
  </si>
  <si>
    <t>3_1699276798918553600</t>
  </si>
  <si>
    <t>13_1701176933286039552</t>
  </si>
  <si>
    <t>3_1700867720408080384</t>
  </si>
  <si>
    <t>3_1699790960639770624</t>
  </si>
  <si>
    <t>13_1701896852130668544</t>
  </si>
  <si>
    <t>3_1698344879179579392</t>
  </si>
  <si>
    <t>3_1701763212210061312</t>
  </si>
  <si>
    <t>3_1701462434744274944 3_1701462694266884096</t>
  </si>
  <si>
    <t>3_1699951062256357376</t>
  </si>
  <si>
    <t>7_1701597764197699584</t>
  </si>
  <si>
    <t>3_1700568846996799489</t>
  </si>
  <si>
    <t>3_1701407918564794368</t>
  </si>
  <si>
    <t>1701690629678411888</t>
  </si>
  <si>
    <t>1701831758478446966</t>
  </si>
  <si>
    <t>1700324690235896007</t>
  </si>
  <si>
    <t>1700312740479349179</t>
  </si>
  <si>
    <t>1701128443491172724</t>
  </si>
  <si>
    <t>1700922247224193190</t>
  </si>
  <si>
    <t>1699831080671670294</t>
  </si>
  <si>
    <t>1701027172398616769</t>
  </si>
  <si>
    <t>1701817287047524441</t>
  </si>
  <si>
    <t>1701918018312474814</t>
  </si>
  <si>
    <t>1700499315771236437</t>
  </si>
  <si>
    <t>1700677897772470424</t>
  </si>
  <si>
    <t>1700859335478333746</t>
  </si>
  <si>
    <t>1701985347515654565</t>
  </si>
  <si>
    <t>1699822139606786431</t>
  </si>
  <si>
    <t>1699819950528139337</t>
  </si>
  <si>
    <t>1700328193222476182</t>
  </si>
  <si>
    <t>1700634415138001269</t>
  </si>
  <si>
    <t>1699818881525952619</t>
  </si>
  <si>
    <t>1699821204163740032</t>
  </si>
  <si>
    <t>1699820569196433560</t>
  </si>
  <si>
    <t>1701061370777879000</t>
  </si>
  <si>
    <t>1701061193686040691</t>
  </si>
  <si>
    <t>1700964815139938757</t>
  </si>
  <si>
    <t>1701526775195374055</t>
  </si>
  <si>
    <t>1701536127222419469</t>
  </si>
  <si>
    <t>1700960445954412819</t>
  </si>
  <si>
    <t>1692385833830027327</t>
  </si>
  <si>
    <t>1700197591005467092</t>
  </si>
  <si>
    <t>1700080794096853456</t>
  </si>
  <si>
    <t>1700197649251709252</t>
  </si>
  <si>
    <t>1701864805521641919</t>
  </si>
  <si>
    <t>1699693770126590183</t>
  </si>
  <si>
    <t>1699759146600448462</t>
  </si>
  <si>
    <t>1701209537154261134</t>
  </si>
  <si>
    <t>1701239484614943000</t>
  </si>
  <si>
    <t>1701678870221509074</t>
  </si>
  <si>
    <t>1701678737362702488</t>
  </si>
  <si>
    <t>1700363398964240587</t>
  </si>
  <si>
    <t>1700661132401541449</t>
  </si>
  <si>
    <t>1700661155788972392</t>
  </si>
  <si>
    <t>1701176990953553964</t>
  </si>
  <si>
    <t>1701374922424246536</t>
  </si>
  <si>
    <t>1701374939868381369</t>
  </si>
  <si>
    <t>1700867729769861368</t>
  </si>
  <si>
    <t>1700897262371852542</t>
  </si>
  <si>
    <t>1700897405762506833</t>
  </si>
  <si>
    <t>1699790975445749825</t>
  </si>
  <si>
    <t>1699999458120097874</t>
  </si>
  <si>
    <t>1699999483122340141</t>
  </si>
  <si>
    <t>1700305478230933733</t>
  </si>
  <si>
    <t>1701280562789622205</t>
  </si>
  <si>
    <t>1701552209870086427</t>
  </si>
  <si>
    <t>1701552230913261834</t>
  </si>
  <si>
    <t>1699573789959606683</t>
  </si>
  <si>
    <t>1701374592928133497</t>
  </si>
  <si>
    <t>1701899811300200929</t>
  </si>
  <si>
    <t>1701927775815496085</t>
  </si>
  <si>
    <t>1701927608387313672</t>
  </si>
  <si>
    <t>1699939080648425550</t>
  </si>
  <si>
    <t>1701804557729468781</t>
  </si>
  <si>
    <t>1700898552883577270</t>
  </si>
  <si>
    <t>1700003093323386901</t>
  </si>
  <si>
    <t>1701552870439698704</t>
  </si>
  <si>
    <t>1699935076702695905</t>
  </si>
  <si>
    <t>1700848918328910038</t>
  </si>
  <si>
    <t>1701763438538801249</t>
  </si>
  <si>
    <t>1700898524114899378</t>
  </si>
  <si>
    <t>1701804535071879594</t>
  </si>
  <si>
    <t>1699939041670762534</t>
  </si>
  <si>
    <t>1700003060523942055</t>
  </si>
  <si>
    <t>1701552851431096389</t>
  </si>
  <si>
    <t>1701611380355539050</t>
  </si>
  <si>
    <t>1699951105927512399</t>
  </si>
  <si>
    <t>1701598423596879977</t>
  </si>
  <si>
    <t>1701612631587725513</t>
  </si>
  <si>
    <t>1701194505582411961</t>
  </si>
  <si>
    <t>1701462752257343943</t>
  </si>
  <si>
    <t>1701457822033268958</t>
  </si>
  <si>
    <t>1701569642844574200</t>
  </si>
  <si>
    <t>1699794080363057525</t>
  </si>
  <si>
    <t>1701235412415520897</t>
  </si>
  <si>
    <t>1700003930984402987</t>
  </si>
  <si>
    <t>1700568851082006845</t>
  </si>
  <si>
    <t>1699770689467654396</t>
  </si>
  <si>
    <t>1701632276033892828</t>
  </si>
  <si>
    <t>1699652692694442265</t>
  </si>
  <si>
    <t>1700489580317749264</t>
  </si>
  <si>
    <t>1701221517789384718</t>
  </si>
  <si>
    <t>1700851536769716690</t>
  </si>
  <si>
    <t>1699963020158369823</t>
  </si>
  <si>
    <t>1701949485838897595</t>
  </si>
  <si>
    <t>1700132550557958526</t>
  </si>
  <si>
    <t>1700131911056699586</t>
  </si>
  <si>
    <t>1700490163137233267</t>
  </si>
  <si>
    <t>1701933692657061980</t>
  </si>
  <si>
    <t>1701407923035947298</t>
  </si>
  <si>
    <t>1700957494732849260</t>
  </si>
  <si>
    <t>1701248650020532481</t>
  </si>
  <si>
    <t>1696541083809837196</t>
  </si>
  <si>
    <t>1699854535705887029</t>
  </si>
  <si>
    <t>1697848855734149625</t>
  </si>
  <si>
    <t>1700921295486271905</t>
  </si>
  <si>
    <t>1699765509858926934</t>
  </si>
  <si>
    <t>1700829933722022004</t>
  </si>
  <si>
    <t>1701754819898220892</t>
  </si>
  <si>
    <t>1699929372713496867</t>
  </si>
  <si>
    <t>1699466480335679854</t>
  </si>
  <si>
    <t>1699486894155796768</t>
  </si>
  <si>
    <t>1699809567046336708</t>
  </si>
  <si>
    <t>1699660577470394450</t>
  </si>
  <si>
    <t>1699698517965709765</t>
  </si>
  <si>
    <t>1700957517734707548</t>
  </si>
  <si>
    <t>1699553626602242514</t>
  </si>
  <si>
    <t>1701283706898620545</t>
  </si>
  <si>
    <t>1701428490028118516</t>
  </si>
  <si>
    <t>1048247004</t>
  </si>
  <si>
    <t>1169516073181466625</t>
  </si>
  <si>
    <t>1563976507697299456</t>
  </si>
  <si>
    <t>2957206202</t>
  </si>
  <si>
    <t>1487740096434831362</t>
  </si>
  <si>
    <t>1154174763918606339</t>
  </si>
  <si>
    <t>1668283974488141826</t>
  </si>
  <si>
    <t>1665347698210242567</t>
  </si>
  <si>
    <t>1382209054999646212</t>
  </si>
  <si>
    <t>1228645328313696257</t>
  </si>
  <si>
    <t>1387708368056328194</t>
  </si>
  <si>
    <t>259611996</t>
  </si>
  <si>
    <t>377823810</t>
  </si>
  <si>
    <t>1404738934043602947</t>
  </si>
  <si>
    <t>1069823543658000385</t>
  </si>
  <si>
    <t>930159781729333249</t>
  </si>
  <si>
    <t>2446896679</t>
  </si>
  <si>
    <t>1521688129559613440</t>
  </si>
  <si>
    <t>2465283662</t>
  </si>
  <si>
    <t>39716430</t>
  </si>
  <si>
    <t>1520053071996407813</t>
  </si>
  <si>
    <t>1698655074254238177</t>
  </si>
  <si>
    <t>1697858702852714986</t>
  </si>
  <si>
    <t>1701444487606907116</t>
  </si>
  <si>
    <t>949838868454563840</t>
  </si>
  <si>
    <t>1441058411408355331</t>
  </si>
  <si>
    <t>1247485727929020418</t>
  </si>
  <si>
    <t>1305317178233806853</t>
  </si>
  <si>
    <t>1539552955938095106</t>
  </si>
  <si>
    <t>1318365628466683904</t>
  </si>
  <si>
    <t>1374864906672091137</t>
  </si>
  <si>
    <t>1679937513316597762</t>
  </si>
  <si>
    <t>1513372724768301060</t>
  </si>
  <si>
    <t>1238344108793417734</t>
  </si>
  <si>
    <t>1098881129057112064</t>
  </si>
  <si>
    <t>1522372150920843265</t>
  </si>
  <si>
    <t>1646039764645318658</t>
  </si>
  <si>
    <t>1392742201906667521</t>
  </si>
  <si>
    <t>1165437834573991936</t>
  </si>
  <si>
    <t>1187120970164776960</t>
  </si>
  <si>
    <t>1585238546742493184</t>
  </si>
  <si>
    <t>1637011093745704961</t>
  </si>
  <si>
    <t>1030137633987547136</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</si>
  <si>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</si>
  <si>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</si>
  <si>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</si>
  <si>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</si>
  <si>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</si>
  <si>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</si>
  <si>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</si>
  <si>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</si>
  <si>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</si>
  <si>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</si>
  <si>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</si>
  <si>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</si>
  <si>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Bessemer</t>
  </si>
  <si>
    <t>JEREMY LONG</t>
  </si>
  <si>
    <t>2000s</t>
  </si>
  <si>
    <t>Christopher Cooke</t>
  </si>
  <si>
    <t>Jo Kozlowski</t>
  </si>
  <si>
    <t>Jesse Elin Browne</t>
  </si>
  <si>
    <t>Robert Smith</t>
  </si>
  <si>
    <t>Peter Jackson II</t>
  </si>
  <si>
    <t>Professor Jeremy</t>
  </si>
  <si>
    <t>Louise Lyons</t>
  </si>
  <si>
    <t>António Ferreira</t>
  </si>
  <si>
    <t>jeremylim</t>
  </si>
  <si>
    <t>笨笨鲨^-^</t>
  </si>
  <si>
    <t>jeremy</t>
  </si>
  <si>
    <t>YouTube</t>
  </si>
  <si>
    <t>Randy</t>
  </si>
  <si>
    <t>薛蛮子Charles</t>
  </si>
  <si>
    <t>_xD83C__xDDFA__xD83C__xDDF8_武汉辣妹_xD83C__xDDF9__xD83C__xDDFC_</t>
  </si>
  <si>
    <t>貓神</t>
  </si>
  <si>
    <t>jeremyL</t>
  </si>
  <si>
    <t>jeremy leclerc</t>
  </si>
  <si>
    <t>nicoleevien _xD83C__xDF38_</t>
  </si>
  <si>
    <t>Mesh_xD83C__xDDE7__xD83C__xDDE7_</t>
  </si>
  <si>
    <t>maybe: bishop</t>
  </si>
  <si>
    <t>Jeremy Luberts</t>
  </si>
  <si>
    <t>Jeremy lehman</t>
  </si>
  <si>
    <t>Alexandria Ocasio-Cortez Press Release (parody)</t>
  </si>
  <si>
    <t>San Francisco 49ers</t>
  </si>
  <si>
    <t>Elon Musk (Parody)</t>
  </si>
  <si>
    <t>49ers on NBCS</t>
  </si>
  <si>
    <t>John Chapman</t>
  </si>
  <si>
    <t>Nassim RETIERE</t>
  </si>
  <si>
    <t>Michael George Bathurst #ShoutMGB</t>
  </si>
  <si>
    <t>JeremyL</t>
  </si>
  <si>
    <t>Kat Tenbarge</t>
  </si>
  <si>
    <t>Chloe Roma</t>
  </si>
  <si>
    <t>Bitget</t>
  </si>
  <si>
    <t>Noys_xD83D__xDE1D_</t>
  </si>
  <si>
    <t>Jiande Vision</t>
  </si>
  <si>
    <t>Bloomberg</t>
  </si>
  <si>
    <t>RRT _xD83E__xDDCA_</t>
  </si>
  <si>
    <t>J.L⚡️</t>
  </si>
  <si>
    <t>Mimi the music blogger 2.0</t>
  </si>
  <si>
    <t>WstLdnsMayor_</t>
  </si>
  <si>
    <t>千寻</t>
  </si>
  <si>
    <t>jeremyliu</t>
  </si>
  <si>
    <t>Bear Liu</t>
  </si>
  <si>
    <t>龙爪槐守望者</t>
  </si>
  <si>
    <t>Jackywine</t>
  </si>
  <si>
    <t>咸糖_xD83C__xDFAF_</t>
  </si>
  <si>
    <t>rick awsb ($people, $people)</t>
  </si>
  <si>
    <t>2898 _xD83D__xDE4C__xD83D__xDC8E_</t>
  </si>
  <si>
    <t>Readwise</t>
  </si>
  <si>
    <t>Tw93</t>
  </si>
  <si>
    <t>AK</t>
  </si>
  <si>
    <t>HEPH✨</t>
  </si>
  <si>
    <t>Changsheng Yang</t>
  </si>
  <si>
    <t>Jeremy Lyons</t>
  </si>
  <si>
    <t>Elon Musk</t>
  </si>
  <si>
    <t>Inside Higher Ed</t>
  </si>
  <si>
    <t>The New York Times</t>
  </si>
  <si>
    <t>CuriousCars</t>
  </si>
  <si>
    <t>The Associated Press</t>
  </si>
  <si>
    <t>Jeremy Levine</t>
  </si>
  <si>
    <t>59166197</t>
  </si>
  <si>
    <t>2276698777</t>
  </si>
  <si>
    <t>17035423</t>
  </si>
  <si>
    <t>1474274960</t>
  </si>
  <si>
    <t>69136365</t>
  </si>
  <si>
    <t>12006842</t>
  </si>
  <si>
    <t>4106793329</t>
  </si>
  <si>
    <t>1111307993881165829</t>
  </si>
  <si>
    <t>10228272</t>
  </si>
  <si>
    <t>1349896547870367747</t>
  </si>
  <si>
    <t>43403778</t>
  </si>
  <si>
    <t>66758174</t>
  </si>
  <si>
    <t>226221523</t>
  </si>
  <si>
    <t>466698672</t>
  </si>
  <si>
    <t>37188645</t>
  </si>
  <si>
    <t>429485301</t>
  </si>
  <si>
    <t>34713362</t>
  </si>
  <si>
    <t>115235401</t>
  </si>
  <si>
    <t>920321515077414912</t>
  </si>
  <si>
    <t>227588754</t>
  </si>
  <si>
    <t>44196397</t>
  </si>
  <si>
    <t>16045268</t>
  </si>
  <si>
    <t>807095</t>
  </si>
  <si>
    <t>51241574</t>
  </si>
  <si>
    <t>3674531</t>
  </si>
  <si>
    <t>Sioux Falls, SD</t>
  </si>
  <si>
    <t xml:space="preserve">personal account! </t>
  </si>
  <si>
    <t>Midwest USA</t>
  </si>
  <si>
    <t>USA</t>
  </si>
  <si>
    <t>Lincoln, Nebraska, USA</t>
  </si>
  <si>
    <t>Sarnia, Ontario</t>
  </si>
  <si>
    <t>Omaha, Nebraska USA _xD83C__xDDFA__xD83C__xDDF8_</t>
  </si>
  <si>
    <t>Essex</t>
  </si>
  <si>
    <t>San Bruno, CA</t>
  </si>
  <si>
    <t>ChiangMai</t>
  </si>
  <si>
    <t>伦敦</t>
  </si>
  <si>
    <t>Tampa, FL</t>
  </si>
  <si>
    <t>Guangxi</t>
  </si>
  <si>
    <t>Vice City 414</t>
  </si>
  <si>
    <t>Mars</t>
  </si>
  <si>
    <t>Always bully bullies!</t>
  </si>
  <si>
    <t>Ville de Nantes</t>
  </si>
  <si>
    <t>Toronto, Ontario, Canada</t>
  </si>
  <si>
    <t>Colorado Springs, CO</t>
  </si>
  <si>
    <t>Brooklyn, NY</t>
  </si>
  <si>
    <t>Calgary, Alberta</t>
  </si>
  <si>
    <t>Global</t>
  </si>
  <si>
    <t>Estados Unidos</t>
  </si>
  <si>
    <t>Hangzhou</t>
  </si>
  <si>
    <t>New York and the World</t>
  </si>
  <si>
    <t>turn on noti’s _xD83D__xDD14_</t>
  </si>
  <si>
    <t>London, England</t>
  </si>
  <si>
    <t>玩物不丧志实验室 _xD83D__xDC49_</t>
  </si>
  <si>
    <t>Check here _xD83D__xDC47_</t>
  </si>
  <si>
    <t>目测是地球</t>
  </si>
  <si>
    <t>Singapore</t>
  </si>
  <si>
    <t>no where</t>
  </si>
  <si>
    <t>2898 Club _xD83D__xDC49_</t>
  </si>
  <si>
    <t>杭州</t>
  </si>
  <si>
    <t xml:space="preserve">subscribe → </t>
  </si>
  <si>
    <t>Deya</t>
  </si>
  <si>
    <t>_xD835__xDD4F_Ð</t>
  </si>
  <si>
    <t>Washington, D.C.</t>
  </si>
  <si>
    <t>New York City</t>
  </si>
  <si>
    <t>New York</t>
  </si>
  <si>
    <t>For the entrepreneurs who want to build revolutions of their own.</t>
  </si>
  <si>
    <t>https://t.co/CvHicC9teG snap//jlong.2043</t>
  </si>
  <si>
    <t>i don’t think 2000s pop culture can ever be topped.</t>
  </si>
  <si>
    <t>Student of spirituality, jazz music &amp; space exploration. 35+ years public radio host &amp; digital consultant. #StarTrek No DMs please.</t>
  </si>
  <si>
    <t>Writer, Chicago native. Politically &amp; spiritually liberal. Married--finally, equal rights! Vegetarian. Owned by 7 cats and a Labrador Retriever.    No DMs.</t>
  </si>
  <si>
    <t>News reporter 25 yrs. NBC, ABC - 
NYC,Chi, Dal, PHX, PHL   
Now I'm:    Jesse_Elin@Threads
and
JesseElinBrowne@Spoutible
      Elon made me do it.
#AFTRASAG</t>
  </si>
  <si>
    <t>The Salvation of the State is Watchfulness in the Citizen. ~ Hartley Burr Alexander's words chiseled on the Nebraska State Capitol. Vote May 2, 2023 ⚖️</t>
  </si>
  <si>
    <t>I can almost see America from my house! Retired broadcast journalist. Liberal. Followed by @TonyTodd54 @KirkAcevedo @HeatherThomasAF. #OnePride  NO DMs!!</t>
  </si>
  <si>
    <t>Jeremy Harris Lipschultz, PhD, Peter Kiewit Distinguished Professor @communo @unosmlre https://t.co/AXr4S186OC</t>
  </si>
  <si>
    <t>Working to create a society where we can better understand ourselves and each other through facilitation, consultancy and advocacy.
Empathy|Curiosity|Integrity</t>
  </si>
  <si>
    <t>‘Every four minutes, the Metropolitan Police service receives a call about a mental health concern.’ #Hearmespeak Get involved at https://t.co/2ytQaFKQBu</t>
  </si>
  <si>
    <t>男 不搞基 头像随便放的</t>
  </si>
  <si>
    <t>Malaysia♡｜不➕VX
IG:xyyyy.04 &amp; shark.0408
没流量不想更新｜ 看心情更新
不读私信 也不会回私信^ - ^</t>
  </si>
  <si>
    <t>运动 时事新闻 音乐 不懂政治 喜欢聊社会问题</t>
  </si>
  <si>
    <t>like and subscribe.</t>
  </si>
  <si>
    <t>语言是人类的一座监狱</t>
  </si>
  <si>
    <t>中国天使投资第一人，由雷军李开复徐小平等十三个中国顶级投资大师组成的中国天使会创始主席。爱生活爱旅游，爱读书爱美食爱逛博物馆。爱说实话不装逼的老顽童。</t>
  </si>
  <si>
    <t>80后武汉辣妹子一枚❤️美国新公民、前副处级领导干部，中国容不下肉身，美国放不下灵魂，幽灵一样游荡在波士顿，政论电报群：https://t.co/kAF2AUDVji ❤️辣妹电报群 ❤️ https://t.co/IfuolRAO9q</t>
  </si>
  <si>
    <t>貓神官方唯一推號！油管「貓神看天下」博主，非民運、不站隊、拒絕加入任何組織，請貓神喝咖啡：https://t.co/ZliWzy3buM 油管：https://t.co/WbubXJ2HyM FB：maoshen，電報群：https://t.co/tBMbXQEknm</t>
  </si>
  <si>
    <t>不是同</t>
  </si>
  <si>
    <t>Hi, I'm Nicole and I'm here to share all positive emotions and horny mood with you. I sell content _xD83C__xDF38_</t>
  </si>
  <si>
    <t>Check media if you need some entertainment here and there _xD83D__xDE02_ I do not own any content * Dm for credits/removal</t>
  </si>
  <si>
    <t>yo. I’m fr sometimes. Packers/Bucks/Brewers</t>
  </si>
  <si>
    <t>Author of Murder on Elm Street - A true life crime story</t>
  </si>
  <si>
    <t>Open to any and everything then opinionated</t>
  </si>
  <si>
    <t>I'm the boss - you mad bro? (parody)</t>
  </si>
  <si>
    <t>Official Twitter account of the 5x Super Bowl Champion San Francisco 49ers. _xD83C__xDDF2__xD83C__xDDFD_ @49ersESP _xD83C__xDFDF_ @LevisStadium _xD83E__xDD1D_ @49ersFoundation</t>
  </si>
  <si>
    <t>I’m on a quest to bang AOC on Mars. (Parody Account)</t>
  </si>
  <si>
    <t>Your home for 49ers _xD83C__xDFC8_... find the 49ers on NBC Sports Bay Area.</t>
  </si>
  <si>
    <t>49ers Rush Podcast Creator/Host CEO Join us on https://t.co/PPEwgRjYzD Backup is @JohnChapman_</t>
  </si>
  <si>
    <t>OU SONT MES MOMENTS ? : #Sporet 8ème Valeur Rép. / Activité sportive collectives mixtes  #Globall / Arctique Humanisé / Poèmes / Miroitements de photos 2Dessins</t>
  </si>
  <si>
    <t>The universe is in the process of a frequency shift. I believe in the power of positive thinking. I love following people who live to be creative &amp; kind.</t>
  </si>
  <si>
    <t>Tech and culture reporter @nbcnews</t>
  </si>
  <si>
    <t>Top Mens Rights Advocate| Ant- Manospere|  Anti- Red Pill | Trans Inclusive | Pro LGBTQ | Pro- Choice For Men AND Women| Podcast: Roma’s Man Cave |</t>
  </si>
  <si>
    <t>The top crypto derivatives and largest copy trading platform
Official crypto partner of #Messi
Support @BitgetSupport</t>
  </si>
  <si>
    <t>Man on mission / A R K I</t>
  </si>
  <si>
    <t>Jiande is located in Hangzhou, Zhejiang Province, China. Let us show you a vibrant, livable city with rich and profound cultural heritage.</t>
  </si>
  <si>
    <t>The first word in business news. 
Newsletters: https://t.co/nWaCxHTiks 
Podcasts: https://t.co/096e9xMJF7 
India Edition Newsletter: https://t.co/jNHJbY6vqN</t>
  </si>
  <si>
    <t>Dr. Strange | Hip-hop content ⭐️ | @SaVichPriv</t>
  </si>
  <si>
    <t>OFFICIAL ACCOUNT | Content creator &amp; Music tastemaker | ig: mimithemusicblogger | tiktok: mimithemusicblogger | email: mimithemusicblogger@gmail.com</t>
  </si>
  <si>
    <t>_xD83C__xDDE6__xD83C__xDDEC__xD83C__xDDEF__xD83C__xDDF2_ “You can be anything you want in life, just don’t be a c*nt. Nobody likes a c*nt”</t>
  </si>
  <si>
    <t>_xD83D__xDC67_ 97 年小姐姐 / 盐以律己，甜以待人 / 独立洒脱
_xD83C__xDF38_ 实用工具分享 / 持续学习 / 干货分享
_xD83D__xDCBB_ All in AI 普通人的最大机遇</t>
  </si>
  <si>
    <t>Product Designer @Xero, 10 year+ podcaster and author of 2 books. Love things around design, tech and productivity. Exploring AI as everyone else.</t>
  </si>
  <si>
    <t>想做独立开发者的设计师，做任何事情都只是因为兴趣罢了</t>
  </si>
  <si>
    <t>产品设计师 | AI 纯小白 |热心网民|老婆的菜猪_xD83D__xDC37_
fully get involved__________________________
#Jacky随想  
#Jacky用户体验  
#JackyAIGC
#JackyCarUX
https://t.co/3iazbgJtUk</t>
  </si>
  <si>
    <t>喜欢 Neovim 并且对币圈有偏见的人</t>
  </si>
  <si>
    <t>瞎读书，乱解释，买啥亏啥，宏观小学生，政经评论外卖员，正在ai中慢慢迷失自我，crypto holder, defi farmer, not financial advice 非投资建议</t>
  </si>
  <si>
    <t>_xD83D__xDDBC_️  Punk2898 HODL 
✍️【2898 的创业思考】连载中，都是真金白银换回来的干货
_xD83C__xDF0A_ 敬畏周期的力量，等待 FED 降息
#bitcoin #ethereum _xD83E__xDD87_ _xD83D__xDD0A_</t>
  </si>
  <si>
    <t>Save your best highlights from Kindle, Twitter, Pocket, Instapaper, iBooks, and 30+ others.
Then revisit, search, organize, and export them seamlessly.</t>
  </si>
  <si>
    <t>妙言 | Pake | 潮流周刊 | XRender 作者</t>
  </si>
  <si>
    <t>AI research paper tweets, ML @Gradio (acq. by @HuggingFace _xD83E__xDD17_)
dm for promo</t>
  </si>
  <si>
    <t>工程师，网络、性能、CPU等领域。知识星球:https://t.co/IxNVHUg5qp 
 ，免费试看3天</t>
  </si>
  <si>
    <t>Burner account…My enemies are after me_xD83C__xDFC3__xD83C__xDFFE_‍♂️</t>
  </si>
  <si>
    <t>Mental Health Advocate | Youth and EDI Consultant I Podcast host</t>
  </si>
  <si>
    <t>Helping you make sense of #HigherEducation. Follow us for the latest news, opinions, jobs, and resources. Send #HigherEd news and tips via DM.</t>
  </si>
  <si>
    <t>News tips? Share them here: https://t.co/ghL9OoYKMM</t>
  </si>
  <si>
    <t>Car reviews, weather reports, and eclectic car content.</t>
  </si>
  <si>
    <t>Advancing the power of facts, globally _xD83C__xDF0E_</t>
  </si>
  <si>
    <t>bvp.com</t>
  </si>
  <si>
    <t>instagram.com/christophercoo…</t>
  </si>
  <si>
    <t>amzn.to/3DHnuRf</t>
  </si>
  <si>
    <t>linktr.ee/theantonio</t>
  </si>
  <si>
    <t>youtube.com</t>
  </si>
  <si>
    <t>youtube.com/c/maoshen</t>
  </si>
  <si>
    <t>onlyfans.com/action/trial/o…</t>
  </si>
  <si>
    <t>49ers.com</t>
  </si>
  <si>
    <t>nbcsportsbayarea.com/nfl/san-franci…</t>
  </si>
  <si>
    <t>the49ersrush.com/links</t>
  </si>
  <si>
    <t>youtube.com/channel/UCIQ7Q…</t>
  </si>
  <si>
    <t>nbcnews.com/author/kat-ten…</t>
  </si>
  <si>
    <t>linktr.ee/Romaarmy</t>
  </si>
  <si>
    <t>linktr.ee/bitgettwitter</t>
  </si>
  <si>
    <t>bloomberg.com</t>
  </si>
  <si>
    <t>linktr.ee/mimithemusicbl…</t>
  </si>
  <si>
    <t>youtube.com/@wwbsz</t>
  </si>
  <si>
    <t>bearliu.substack.com</t>
  </si>
  <si>
    <t>ftium4.com</t>
  </si>
  <si>
    <t>figma.com/@jackywine1</t>
  </si>
  <si>
    <t>vim0.com</t>
  </si>
  <si>
    <t>t.me/punk2898_club</t>
  </si>
  <si>
    <t>readwise.io</t>
  </si>
  <si>
    <t>the.top/tw93</t>
  </si>
  <si>
    <t>akhaliq.substack.com</t>
  </si>
  <si>
    <t>plantegg.github.io</t>
  </si>
  <si>
    <t>Instagram.com/big_heph</t>
  </si>
  <si>
    <t>bvp.com/team/jeremy-le…</t>
  </si>
  <si>
    <t>https://t.co/kAF2AUDVji https://t.co/IfuolRAO9q</t>
  </si>
  <si>
    <t>https://t.co/ZliWzy3buM https://t.co/WbubXJ2HyM https://t.co/tBMbXQEknm</t>
  </si>
  <si>
    <t>https://t.co/nWaCxHTiks https://t.co/096e9xMJF7 https://t.co/jNHJbY6vqN</t>
  </si>
  <si>
    <t>https://t.me/maoshen950404 https://t.me/WHlamei</t>
  </si>
  <si>
    <t>http://paypal.me/maoshen2020 https://www.youtube.com/c/maoshen https://t.me/maoshen950404</t>
  </si>
  <si>
    <t>http://bloom.bg/newsletters http://bloom.bg/podcasts http://bloom.bg/45jP1GP</t>
  </si>
  <si>
    <t>onlyfans.com/jeremylong30</t>
  </si>
  <si>
    <t>amzn.to/2UaIVcv</t>
  </si>
  <si>
    <t>hearmespeak.co.uk/get-involved</t>
  </si>
  <si>
    <t>t.me/maoshen950404 t.me/WHlamei</t>
  </si>
  <si>
    <t>paypal.me/maoshen2020 youtube.com/c/maoshen t.me/maoshen950404</t>
  </si>
  <si>
    <t>The49ersRush.com</t>
  </si>
  <si>
    <t>bloom.bg/newsletters bloom.bg/podcasts bloom.bg/45jP1GP</t>
  </si>
  <si>
    <t>typefully.com/Jackywine</t>
  </si>
  <si>
    <t>t.zsxq.com/0cz93XUPj</t>
  </si>
  <si>
    <t>nyti.ms/2FVHq9v</t>
  </si>
  <si>
    <t>linkedin.com/in/jeremyl/</t>
  </si>
  <si>
    <t>sensitive_media</t>
  </si>
  <si>
    <t>none</t>
  </si>
  <si>
    <t>regular</t>
  </si>
  <si>
    <t>Open Twitter Page for This Person</t>
  </si>
  <si>
    <t xml:space="preserve">bessemervp
</t>
  </si>
  <si>
    <t>jeremyl_20
RT @PopCulture2000s: EVERYTHING
KEEPS COSTING MONEY https://t.co/KSjP65ttra</t>
  </si>
  <si>
    <t>popculture2000s
EVERYTHING KEEPS COSTING MONEY
https://t.co/KSjP65ttra</t>
  </si>
  <si>
    <t>ccooke6685
@JaxImperator @JeremyHL @NebraskaSower
@effiedog @JoKozlowski You're welcome,
Peter!!</t>
  </si>
  <si>
    <t xml:space="preserve">jokozlowski
</t>
  </si>
  <si>
    <t xml:space="preserve">effiedog
</t>
  </si>
  <si>
    <t xml:space="preserve">nebraskasower
</t>
  </si>
  <si>
    <t xml:space="preserve">jaximperator
</t>
  </si>
  <si>
    <t>jeremyhl
“A federal appeals court Friday
significantly whittled down a lower
court’s order curbing Biden administration
communications with social media
companies over controversial content
about COVID-19 and other issues”
( ⁦@AP⁩ ). #smc2024 #SMProfs https://t.co/U2fdMnzLCR</t>
  </si>
  <si>
    <t>louiselyons_
_xD83D__xDE4F__xD83C__xDFFE_ Sending heartfelt prayers
to the people of Morocco _xD83C__xDDF2__xD83C__xDDE6_ during
these challenging times. Thinking
especially of my friend @Antothenio</t>
  </si>
  <si>
    <t xml:space="preserve">antothenio
</t>
  </si>
  <si>
    <t>jeremyl75946562
@g29CIe3Xev6p0yU 认识吗</t>
  </si>
  <si>
    <t xml:space="preserve">g29cie3xev6p0yu
</t>
  </si>
  <si>
    <t>jeremyl72410226
@maoshen04 @WHlamei 牟其中？？？？？？？？</t>
  </si>
  <si>
    <t xml:space="preserve">youtube
</t>
  </si>
  <si>
    <t xml:space="preserve">wiyo4
</t>
  </si>
  <si>
    <t xml:space="preserve">xuemanzi8848
</t>
  </si>
  <si>
    <t xml:space="preserve">whlamei
</t>
  </si>
  <si>
    <t xml:space="preserve">maoshen04
</t>
  </si>
  <si>
    <t>hfaxcjqrmpttxou
有m吗 #南宁 https://t.co/skKLOimJIA</t>
  </si>
  <si>
    <t>jeremyl78036806
@nicoleevien_ Jolie petit luc _xD83E__xDD70__xD83D__xDE0D__xD83E__xDD70__xD83E__xDD70__xD83D__xDE3B_</t>
  </si>
  <si>
    <t xml:space="preserve">nicoleevien_
</t>
  </si>
  <si>
    <t>rahsh33m
Lil man’s face_xD83D__xDE2D__xD83E__xDD23__xD83E__xDD23__xD83E__xDD23_ https://t.co/HrUiIRr9Ml</t>
  </si>
  <si>
    <t>tdflakes
He lost a role model</t>
  </si>
  <si>
    <t>jeremyl12866
Have you bought your copy yet!
https://t.co/92YxHZ9htU</t>
  </si>
  <si>
    <t>jeremyl21457481
RT @JL_Chapman: Steelers fans:
“49ers are going to find out.”
Also Steelers fans: https://t.co/r3iVbpfxK4</t>
  </si>
  <si>
    <t xml:space="preserve">aocpresstwo
</t>
  </si>
  <si>
    <t>49ers
All the signings today _xD83C__xDFC8_✍️ Repost
for the chance to win! No purchase
necessary. Official rules: https://t.co/9R3WqqzRZm
https://t.co/QHBcR3CVEm</t>
  </si>
  <si>
    <t xml:space="preserve">elonmuskaoc
</t>
  </si>
  <si>
    <t>nbcs49ers
Starting off the season with a
W _xD83D__xDE24_ https://t.co/dGpw8wdi2k</t>
  </si>
  <si>
    <t>jl_chapman
Steelers fans: “49ers are going
to find out.” Also Steelers fans:
https://t.co/r3iVbpfxK4</t>
  </si>
  <si>
    <t>nassimretiere
RT @NassimRETIERE: https://t.co/qn0SL3egZS
@JeremyHL @michaelbathurst</t>
  </si>
  <si>
    <t xml:space="preserve">michaelbathurst
</t>
  </si>
  <si>
    <t>jeremylammert79
@The_RomaArmy @kattenbarge They
want her number? Lady, we've got
your number. Keep up the good work
Chloe!</t>
  </si>
  <si>
    <t xml:space="preserve">kattenbarge
</t>
  </si>
  <si>
    <t xml:space="preserve">the_romaarmy
</t>
  </si>
  <si>
    <t>bitgetglobal
_xD83D__xDD25_ #KCGI2023 is now kicking off
on #Bitget! _xD83D__xDE81_ Gear up to win 2,650,000
$USDT and even a helicopter! ⏰
Registration sets off: August 18,
2 AM (UTC) ➡️ Join now: https://t.co/JGkyveweUS
https://t.co/7ZYZA9GQ1o</t>
  </si>
  <si>
    <t>jeremyl2p41
RT @JiandeVision: Shiling Village
in #Jiande, #Hangzhou has a long
#history, profound #culture and
beautiful #scenery, attracting
a large 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</si>
  <si>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</si>
  <si>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business
Top consulting firms from Bain
to Deloitte are offering new grads
stipends for their delayed start
dates</t>
  </si>
  <si>
    <t>savichtakes
The original version of Kendrick
Lamar’s ELEMENT. has leaked, including
a scrapped verse in which he takes
direct shots at the likes of Drake,
Big Sean, French Montana, Meek
Mill and Jay Electronica _xD83E__xDD2F_ https://t.co/z17z48U34C</t>
  </si>
  <si>
    <t>jeremyl_7
RT @kieronFish: He likkle man’d
the whole U.K. _xD83D__xDE02_ https://t.co/EghZNYzovh</t>
  </si>
  <si>
    <t>mimitheblogger
Mandy organised it</t>
  </si>
  <si>
    <t>kieronfish
He likkle man’d the whole U.K.
_xD83D__xDE02_ https://t.co/EghZNYzovh</t>
  </si>
  <si>
    <t>crypto_qianxun
有小伙伴问我从哪里搜索免费的电影资源，我统计了 18 个神仙影视网站，这些都是免费贼好用的，有需要的可以收藏一下
链接：https://t.co/nQGTNX9swU https://t.co/G9crC0lkzI</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</si>
  <si>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</si>
  <si>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bearbig
浏览器里输入地址后，发生了些什么。这图很详细了。 如果是accessibility（比如盲人用的screen
reader），还要加一层东西。 现代互联网的确是伟大的工程。
https://t.co/KW57ySwlbl</t>
  </si>
  <si>
    <t>ftium4
OpenAI 品牌指南 链接：https://t.co/FnbEms2Gc0
一共 108 页，对 Logo、颜色、图标、配图、可视化图表都想详细的说明。
https://t.co/1CxWNPqzbe</t>
  </si>
  <si>
    <t>jackywine
#Jacky用户体验 小组里很多同事不会 Figma？ 快把这套教程介绍给他们
这里是 草帽老师figma 教学视频汇总 figma 新手教学，看完就能超过99%的设计师
https://t.co/Vj59DbAmGA https://t.co/Sjm4yrN8Sm</t>
  </si>
  <si>
    <t>gia917229015
强烈推荐的一本书 《Efficient Linux at the
Command Line》 好久没读过这么畅快的书了，shell
编程还是得系统学。</t>
  </si>
  <si>
    <t xml:space="preserve">rickawsb
</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</si>
  <si>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</si>
  <si>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 xml:space="preserve">readwise
</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</si>
  <si>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</si>
  <si>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</si>
  <si>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plantegg
既然如此我还是推荐你们看我的小抄吧，我自己每次都是先去小抄里find一下，没有的再去Google
https://t.co/A4L8U24KKR https://t.co/74CrkAiIvP</t>
  </si>
  <si>
    <t>instigator_h
It’s all going off in Peckham _xD83D__xDE2C__xD83D__xDE2C__xD83D__xDE2C_
https://t.co/l4vJvqSN6p</t>
  </si>
  <si>
    <t>csyangchsh
@plantegg 同感，我一般会把实用的命令记下来。如果很长，用的时候就直接复制粘贴。</t>
  </si>
  <si>
    <t>jeremyl51357386
RT @louiselyons_: _xD83D__xDE4F__xD83C__xDFFE_ Sending
heartfelt prayers to the people
of Morocco _xD83C__xDDF2__xD83C__xDDE6_ during these challenging
times. Thinking especially of my
friend…</t>
  </si>
  <si>
    <t xml:space="preserve">elonmusk
</t>
  </si>
  <si>
    <t xml:space="preserve">insidehighered
</t>
  </si>
  <si>
    <t xml:space="preserve">nytimes
</t>
  </si>
  <si>
    <t xml:space="preserve">carscurious
</t>
  </si>
  <si>
    <t xml:space="preserve">ap
</t>
  </si>
  <si>
    <t>jeremyl
Free "classes" on SaaS finance
from my colleagues @BessemerVP:
https://t.co/Q9NTbPBTFl</t>
  </si>
  <si>
    <t>https://plantegg.github.io/2017/01/01/top_linux_commands/</t>
  </si>
  <si>
    <t>https://huggingface.co/papers/2309.03241</t>
  </si>
  <si>
    <t>https://bookstash.io/</t>
  </si>
  <si>
    <t>https://www.craft.me/s/dbj8QJkuZ5ruTB</t>
  </si>
  <si>
    <t>https://archive.area17.com/directory/2023_openai/36_brand-guidelines.pdf</t>
  </si>
  <si>
    <t>https://t8ipkovzsy.feishu.cn/sheets/ZaaVs8vDPhkcrWttYTXc9bgmnhh?from=from_copylink</t>
  </si>
  <si>
    <t>https://x.com/ManonAubryFr/status/1701521575512608784?s=20</t>
  </si>
  <si>
    <t>https://49rs.co/44LIh3Q</t>
  </si>
  <si>
    <t>https://apnews.com/article/6322aae981bdc5c9009babde4b31ab60</t>
  </si>
  <si>
    <t>https://apnews.com/article/792cbae3e651d31028ae2c64f65f112c</t>
  </si>
  <si>
    <t>https://thorium.rocks/</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</si>
  <si>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</si>
  <si>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</si>
  <si>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</si>
  <si>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</si>
  <si>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</si>
  <si>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</si>
  <si>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</si>
  <si>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https://apnews.com/article/23a770d706f3d8a1d7b1a3e4fc8529e3</t>
  </si>
  <si>
    <t>https://www.bitget.com/events/kcgi?utmSource=Twitter</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</si>
  <si>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</si>
  <si>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</si>
  <si>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http://bessemervp.team/3Rcq10r https://www.nytimes.com/2023/09/12/opinion/crime-inflation-polls-economy.html</t>
  </si>
  <si>
    <t>https://fb.watch/n1ACdhDEkQ/?mibextid=qC1gEa</t>
  </si>
  <si>
    <t>github.io feishu.cn area17.com craft.me bookstash.io huggingface.co thorium.rocks</t>
  </si>
  <si>
    <t>apnews.com x.com nebraskaexaminer.com linkedin.com cjr.org insidehighered.com nytimes.com</t>
  </si>
  <si>
    <t>bessemervp.team nytimes.com</t>
  </si>
  <si>
    <t>smprofs</t>
  </si>
  <si>
    <t>ai</t>
  </si>
  <si>
    <t>参考答案</t>
  </si>
  <si>
    <t>jiande</t>
  </si>
  <si>
    <t>hangzhou</t>
  </si>
  <si>
    <t>history</t>
  </si>
  <si>
    <t>earthquake</t>
  </si>
  <si>
    <t>morocco</t>
  </si>
  <si>
    <t>kcgi2023</t>
  </si>
  <si>
    <t>bitget</t>
  </si>
  <si>
    <t>culture</t>
  </si>
  <si>
    <t>scenery</t>
  </si>
  <si>
    <t>nature</t>
  </si>
  <si>
    <t>工程师学习 jacky用户体验 参考答案 工程师工具</t>
  </si>
  <si>
    <t>smc2024 smprofs ai highered earthquake morocco prprofs tech law</t>
  </si>
  <si>
    <t>kcgi2023 bitget jiande hangzhou history culture scenery nature</t>
  </si>
  <si>
    <t>thread</t>
  </si>
  <si>
    <t>save</t>
  </si>
  <si>
    <t>s</t>
  </si>
  <si>
    <t>gt</t>
  </si>
  <si>
    <t>t</t>
  </si>
  <si>
    <t>#smc2024</t>
  </si>
  <si>
    <t>https</t>
  </si>
  <si>
    <t>#smprofs</t>
  </si>
  <si>
    <t>co</t>
  </si>
  <si>
    <t>figma</t>
  </si>
  <si>
    <t>链接</t>
  </si>
  <si>
    <t>#工程师学习</t>
  </si>
  <si>
    <t>social</t>
  </si>
  <si>
    <t>media</t>
  </si>
  <si>
    <t>people</t>
  </si>
  <si>
    <t>friday</t>
  </si>
  <si>
    <t>court</t>
  </si>
  <si>
    <t>market</t>
  </si>
  <si>
    <t>man</t>
  </si>
  <si>
    <t>perfect</t>
  </si>
  <si>
    <t>lost</t>
  </si>
  <si>
    <t>project</t>
  </si>
  <si>
    <t>version</t>
  </si>
  <si>
    <t>whole</t>
  </si>
  <si>
    <t>lamar</t>
  </si>
  <si>
    <t>scrapped</t>
  </si>
  <si>
    <t>fans</t>
  </si>
  <si>
    <t>steelers</t>
  </si>
  <si>
    <t>out</t>
  </si>
  <si>
    <t>official</t>
  </si>
  <si>
    <t>purchase</t>
  </si>
  <si>
    <t>rules</t>
  </si>
  <si>
    <t>win</t>
  </si>
  <si>
    <t>starting</t>
  </si>
  <si>
    <t>welcome</t>
  </si>
  <si>
    <t>village</t>
  </si>
  <si>
    <t>now</t>
  </si>
  <si>
    <t>2</t>
  </si>
  <si>
    <t>kicking</t>
  </si>
  <si>
    <t>#scenery</t>
  </si>
  <si>
    <t>large</t>
  </si>
  <si>
    <t>start</t>
  </si>
  <si>
    <t>attracting</t>
  </si>
  <si>
    <t>sets</t>
  </si>
  <si>
    <t>stipends</t>
  </si>
  <si>
    <t>challenging</t>
  </si>
  <si>
    <t>friend</t>
  </si>
  <si>
    <t>especially</t>
  </si>
  <si>
    <t>prayers</t>
  </si>
  <si>
    <t>sending</t>
  </si>
  <si>
    <t>times</t>
  </si>
  <si>
    <t>heartfelt</t>
  </si>
  <si>
    <t>number</t>
  </si>
  <si>
    <t>readwise thread save https t hitw93 co figma 链接 #工程师学习</t>
  </si>
  <si>
    <t>ap #smc2024 #smprofs s social media people friday court market</t>
  </si>
  <si>
    <t>gt s man perfect lost project version whole lamar scrapped</t>
  </si>
  <si>
    <t>fans steelers out elonmuskaoc 49ers official purchase rules win starting</t>
  </si>
  <si>
    <t>nebraskasower jeremyhl welcome effiedog jaximperator jokozlowski</t>
  </si>
  <si>
    <t>village now 2 kicking #scenery large start attracting sets stipends</t>
  </si>
  <si>
    <t>challenging friend especially prayers during sending morocco people times heartfelt</t>
  </si>
  <si>
    <t>keeps costing everything money</t>
  </si>
  <si>
    <t>house</t>
  </si>
  <si>
    <t>readwise,save</t>
  </si>
  <si>
    <t>save,thread</t>
  </si>
  <si>
    <t>https,t</t>
  </si>
  <si>
    <t>t,co</t>
  </si>
  <si>
    <t>gt,gt</t>
  </si>
  <si>
    <t>#smc2024,#smprofs</t>
  </si>
  <si>
    <t>链接,https</t>
  </si>
  <si>
    <t>steelers,fans</t>
  </si>
  <si>
    <t>ap,#smc2024</t>
  </si>
  <si>
    <t>social,media</t>
  </si>
  <si>
    <t>hitw93,readwise</t>
  </si>
  <si>
    <t>信息茧房自救指南,非常适合当今信息过剩的情况下阅读</t>
  </si>
  <si>
    <t>分钟讲述投资底层逻辑,一口气看完</t>
  </si>
  <si>
    <t>很值得关注,基于</t>
  </si>
  <si>
    <t>发生了些什么,这图很详细了</t>
  </si>
  <si>
    <t>#ai,#smc2024</t>
  </si>
  <si>
    <t>ap,#ai</t>
  </si>
  <si>
    <t>jeremyhl,michaelbathurst</t>
  </si>
  <si>
    <t>takes,direct</t>
  </si>
  <si>
    <t>s,element</t>
  </si>
  <si>
    <t>role,model</t>
  </si>
  <si>
    <t>verse,takes</t>
  </si>
  <si>
    <t>including,scrapped</t>
  </si>
  <si>
    <t>element,leaked</t>
  </si>
  <si>
    <t>project,gt</t>
  </si>
  <si>
    <t>version,kendrick</t>
  </si>
  <si>
    <t>whole,u</t>
  </si>
  <si>
    <t>purchase,necessary</t>
  </si>
  <si>
    <t>today,repost</t>
  </si>
  <si>
    <t>official,rules</t>
  </si>
  <si>
    <t>starting,season</t>
  </si>
  <si>
    <t>find,out</t>
  </si>
  <si>
    <t>49ers,going</t>
  </si>
  <si>
    <t>going,find</t>
  </si>
  <si>
    <t>fans,49ers</t>
  </si>
  <si>
    <t>win,purchase</t>
  </si>
  <si>
    <t>nebraskasower,effiedog</t>
  </si>
  <si>
    <t>jeremyhl,nebraskasower</t>
  </si>
  <si>
    <t>offering,new</t>
  </si>
  <si>
    <t>#jiande,#hangzhou</t>
  </si>
  <si>
    <t>win,2</t>
  </si>
  <si>
    <t>#scenery,attracting</t>
  </si>
  <si>
    <t>firms,bain</t>
  </si>
  <si>
    <t>grads,stipends</t>
  </si>
  <si>
    <t>usdt,even</t>
  </si>
  <si>
    <t>#history,profound</t>
  </si>
  <si>
    <t>up,win</t>
  </si>
  <si>
    <t>village,#jiande</t>
  </si>
  <si>
    <t>people,morocco</t>
  </si>
  <si>
    <t>thinking,especially</t>
  </si>
  <si>
    <t>morocco,during</t>
  </si>
  <si>
    <t>especially,friend</t>
  </si>
  <si>
    <t>prayers,people</t>
  </si>
  <si>
    <t>times,thinking</t>
  </si>
  <si>
    <t>sending,heartfelt</t>
  </si>
  <si>
    <t>during,challenging</t>
  </si>
  <si>
    <t>challenging,times</t>
  </si>
  <si>
    <t>heartfelt,prayers</t>
  </si>
  <si>
    <t>save,thread  readwise,save  https,t  t,co  链接,https  hitw93,readwise  信息茧房自救指南,非常适合当今信息过剩的情况下阅读  分钟讲述投资底层逻辑,一口气看完  很值得关注,基于  发生了些什么,这图很详细了</t>
  </si>
  <si>
    <t>#smc2024,#smprofs  social,media  ap,#smc2024  #ai,#smc2024  ap,#ai  jeremyhl,michaelbathurst</t>
  </si>
  <si>
    <t>gt,gt  takes,direct  s,element  role,model  verse,takes  including,scrapped  element,leaked  project,gt  version,kendrick  whole,u</t>
  </si>
  <si>
    <t>steelers,fans  purchase,necessary  today,repost  official,rules  starting,season  find,out  49ers,going  going,find  fans,49ers  win,purchase</t>
  </si>
  <si>
    <t>nebraskasower,effiedog  jeremyhl,nebraskasower</t>
  </si>
  <si>
    <t>offering,new  #jiande,#hangzhou  win,2  #scenery,attracting  firms,bain  grads,stipends  usdt,even  #history,profound  up,win  village,#jiande</t>
  </si>
  <si>
    <t>people,morocco  thinking,especially  morocco,during  especially,friend  prayers,people  times,thinking  sending,heartfelt  during,challenging  challenging,times  heartfelt,prayers</t>
  </si>
  <si>
    <t>costing,money  keeps,costing  everything,keeps</t>
  </si>
  <si>
    <t>hitw93 plantegg jackywine rickawsb crypto_qianxun bearbig ftium4 gia917229015 punk2898 _akhaliq</t>
  </si>
  <si>
    <t>elonmuskaoc aocpresstwo</t>
  </si>
  <si>
    <t>maoshen04 wiyo4 xuemanzi8848</t>
  </si>
  <si>
    <t>jaximperator jokozlowski</t>
  </si>
  <si>
    <t>readwise hitw93 crypto_qianxun bearbig ftium4 jackywine gia917229015 punk2898 _akhaliq plantegg</t>
  </si>
  <si>
    <t>ap jeremyhl michaelbathurst elonmusk insidehighered nytimes nassimretiere</t>
  </si>
  <si>
    <t>mimitheblogger kieronfish savichtakes tdflakes</t>
  </si>
  <si>
    <t>jl_chapman 49ers nbcs49ers</t>
  </si>
  <si>
    <t>whlamei youtube</t>
  </si>
  <si>
    <t>jeremyhl nebraskasower effiedog jokozlowski jaximperator</t>
  </si>
  <si>
    <t>business bitgetglobal jiandevision</t>
  </si>
  <si>
    <t>louiselyons_ antothenio</t>
  </si>
  <si>
    <t>readwise _akhaliq rickawsb bearbig jackywine ftium4 csyangchsh plantegg punk2898 hitw93</t>
  </si>
  <si>
    <t>nytimes ap michaelbathurst jeremyhl nassimretiere insidehighered elonmusk carscurious</t>
  </si>
  <si>
    <t>kieronfish tdflakes savichtakes mimitheblogger jeremyl_7 instigator_h rahsh33m</t>
  </si>
  <si>
    <t>49ers jl_chapman nbcs49ers elonmuskaoc aocpresstwo jeremyl21457481</t>
  </si>
  <si>
    <t>youtube xuemanzi8848 maoshen04 whlamei wiyo4 jeremyl72410226</t>
  </si>
  <si>
    <t>effiedog jaximperator ccooke6685 nebraskasower jokozlowski</t>
  </si>
  <si>
    <t>business bitgetglobal jiandevision jeremyl2p41</t>
  </si>
  <si>
    <t>antothenio louiselyons_ jeremyl51357386</t>
  </si>
  <si>
    <t>kattenbarge the_romaarmy jeremylammert79</t>
  </si>
  <si>
    <t>nicoleevien_ jeremyl78036806</t>
  </si>
  <si>
    <t>jeremyl75946562 g29cie3xev6p0yu</t>
  </si>
  <si>
    <t>popculture2000s jeremyl_20</t>
  </si>
  <si>
    <t>bessemervp jeremyl</t>
  </si>
  <si>
    <t>jeremyl12866 hfaxcjqrmpttxou</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</si>
  <si>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</si>
  <si>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</si>
  <si>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https://thorium.rocks/ https://bookstash.io/</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</si>
  <si>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</si>
  <si>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https://t8ipkovzsy.feishu.cn/sheets/ZaaVs8vDPhkcrWttYTXc9bgmnhh?from=from_copylink https://bookstash.io/ https://www.craft.me/s/dbj8QJkuZ5ruTB https://plantegg.github.io/2017/01/01/top_linux_commands/ https://huggingface.co/papers/2309.03241 https://archive.area17.com/directory/2023_openai/36_brand-guidelines.pdf</t>
  </si>
  <si>
    <t>https://bookstash.io/ https://thorium.rocks/</t>
  </si>
  <si>
    <t>apnews.com nytimes.com insidehighered.com cjr.org linkedin.com nebraskaexaminer.com</t>
  </si>
  <si>
    <t>github.io huggingface.co bookstash.io craft.me area17.com feishu.cn</t>
  </si>
  <si>
    <t>thorium.rocks bookstash.io</t>
  </si>
  <si>
    <t>nytimes.com bessemervp.team</t>
  </si>
  <si>
    <t>apnews.com nytimes.com insidehighered.com nebraskaexaminer.com linkedin.com cjr.org</t>
  </si>
  <si>
    <t>craft.me github.io huggingface.co feishu.cn area17.com bookstash.io</t>
  </si>
  <si>
    <t>smc2024 smprofs ai tech law prprofs earthquake morocco highered</t>
  </si>
  <si>
    <t>jiande hangzhou history culture scenery kcgi2023 bitget</t>
  </si>
  <si>
    <t>工程师学习 工程师工具 参考答案 jacky用户体验</t>
  </si>
  <si>
    <t>工程师学习 工程师工具 参考答案</t>
  </si>
  <si>
    <t>smprofs ai smc2024 highered prprofs law morocco tech earthquake</t>
  </si>
  <si>
    <t>kcgi2023 culture hangzhou jiande bitget scenery history</t>
  </si>
  <si>
    <t>culture hangzhou jiande nature scenery history</t>
  </si>
  <si>
    <t>工程师学习 jacky用户体验 工程师工具 参考答案</t>
  </si>
  <si>
    <t>工程师工具 参考答案 工程师学习</t>
  </si>
  <si>
    <t>house finance values holding homeowner crisis fine financial colleagues surveys</t>
  </si>
  <si>
    <t>keeps costing everything popculture2000s money</t>
  </si>
  <si>
    <t>nebraskasower welcome effiedog jaximperator jokozlowski jo peter</t>
  </si>
  <si>
    <t>认识吗 g29cie3xev6p0yu</t>
  </si>
  <si>
    <t>youtube 牟其中 我喜欢李志的歌 wiyo4 红岩村 maoshen04 whlamei 哈哈 多么熟悉的名字 xuemanzi8848</t>
  </si>
  <si>
    <t>#南宁 有m吗</t>
  </si>
  <si>
    <t>petit nicoleevien_ luc jolie</t>
  </si>
  <si>
    <t>s man lil face</t>
  </si>
  <si>
    <t>model lost role</t>
  </si>
  <si>
    <t>bought copy</t>
  </si>
  <si>
    <t>elonmuskaoc out fans aocpresstwo 49ers steelers official elected anyone mainstream</t>
  </si>
  <si>
    <t>chance signings rules today official necessary win repost purchase</t>
  </si>
  <si>
    <t>season starting w</t>
  </si>
  <si>
    <t>steelers fans going out 49ers find</t>
  </si>
  <si>
    <t>michaelbathurst nassimretiere</t>
  </si>
  <si>
    <t>number good work up kattenbarge lady want keep the_romaarmy we've</t>
  </si>
  <si>
    <t>2 now sets registration 650 even usdt august #kcgi2023 up</t>
  </si>
  <si>
    <t>kicking #scenery bitgetglobal village large start attracting sets stipends profound</t>
  </si>
  <si>
    <t>village #scenery allows good #nature experience here large attracting place</t>
  </si>
  <si>
    <t>deloitte dates bain new consulting grads top start stipends offering</t>
  </si>
  <si>
    <t>s leaked jay verse scrapped french version drake montana shots</t>
  </si>
  <si>
    <t>gt mimitheblogger kendrick man shots tdflakes weather model d savichtakes</t>
  </si>
  <si>
    <t>gt huncho organised perfect project mandy weather m</t>
  </si>
  <si>
    <t>man d k likkle u whole</t>
  </si>
  <si>
    <t>有小伙伴问我从哪里搜索免费的电影资源 这些都是免费贼好用的 有需要的可以收藏一下 https nqgtnx9swu t 个神仙影视网站 我统计了 链接 18</t>
  </si>
  <si>
    <t>readwise thread save hitw93 https jackywine t co figma crypto_qianxun</t>
  </si>
  <si>
    <t>比如盲人用的screen 浏览器里输入地址后 如果是accessibility 发生了些什么 reader 现代互联网的确是伟大的工程 还要加一层东西 这图很详细了</t>
  </si>
  <si>
    <t>openai 品牌指南 logo 配图 108 fnbems2gc0 颜色 https t 图标</t>
  </si>
  <si>
    <t>figma 这里是 快把这套教程介绍给他们 看完就能超过99 的设计师 草帽老师figma 新手教学 小组里很多同事不会 #jacky用户体验 教学视频汇总</t>
  </si>
  <si>
    <t>shell efficient 好久没读过这么畅快的书了 command line 编程还是得系统学 强烈推荐的一本书 linux</t>
  </si>
  <si>
    <t>30 年制作的科普视频 更无法预测遥远的 分钟讲述投资底层逻辑 一口气看完 2030 2 我们不知道明天的走势 孟岩耗时 酣畅淋漓</t>
  </si>
  <si>
    <t>#工程师学习 从 号称地球上最快的浏览器 chromium 作者是一个 很牛逼 很值得关注 信息茧房自救指南 bookstash 觉得不错再去买书看</t>
  </si>
  <si>
    <t>operations arithmetic calculator gt large multiplication digits paper accurately page</t>
  </si>
  <si>
    <t>既然如此我还是推荐你们看我的小抄吧 没有的再去google 我自己每次都是先去小抄里find一下</t>
  </si>
  <si>
    <t>going s peckham</t>
  </si>
  <si>
    <t>如果很长 plantegg 我一般会把实用的命令记下来 同感 用的时候就直接复制粘贴</t>
  </si>
  <si>
    <t>challenging friend especially prayers during sending morocco people times louiselyons_</t>
  </si>
  <si>
    <t>jo peter nebraskasower welcome effiedog jaximperator jokozlowski</t>
  </si>
  <si>
    <t>court #smprofs s #smc2024 chip social media people friday ap</t>
  </si>
  <si>
    <t>fans steelers elonmuskaoc out aocpresstwo 49ers official elected anyone mainstream</t>
  </si>
  <si>
    <t>nassimretiere michaelbathurst</t>
  </si>
  <si>
    <t>hitw93 https readwise thread save figma jackywine t co crypto_qianxun</t>
  </si>
  <si>
    <t>从 号称地球上最快的浏览器 chromium 作者是一个 很牛逼 很值得关注 信息茧房自救指南 bookstash 觉得不错再去买书看 大部分书看了看都是经典书籍同时也有中文版本</t>
  </si>
  <si>
    <t>believed,house  value,fine  saas,finance  way,down  right,08  house,holding  holding,value  down,everywhere  colleagues,bessemervp  surveys,right</t>
  </si>
  <si>
    <t>costing,money  popculture2000s,everything  keeps,costing  everything,keeps</t>
  </si>
  <si>
    <t>nebraskasower,effiedog  jeremyhl,nebraskasower  jokozlowski,jeremyhl  welcome,jo  welcome,peter  effiedog,jokozlowski  effiedog,jaximperator  jaximperator,welcome  jaximperator,jeremyhl  jokozlowski,welcome</t>
  </si>
  <si>
    <t>#smc2024,#smprofs  social,media  ap,#smc2024  #ai,#smc2024  ap,#ai  statements,women  menard,left  federal,appeals  watchdog,agency  villages,atlas</t>
  </si>
  <si>
    <t>people,morocco  thinking,especially  morocco,during  especially,friend  prayers,people  times,thinking  sending,heartfelt  during,challenging  friend,antothenio  challenging,times</t>
  </si>
  <si>
    <t>g29cie3xev6p0yu,认识吗</t>
  </si>
  <si>
    <t>红岩村,多么熟悉的名字  maoshen04,whlamei  youtube,我喜欢李志的歌  wiyo4,youtube  我喜欢李志的歌,哈哈  xuemanzi8848,红岩村  whlamei,牟其中</t>
  </si>
  <si>
    <t>有m吗,#南宁</t>
  </si>
  <si>
    <t>petit,luc  nicoleevien_,jolie  jolie,petit</t>
  </si>
  <si>
    <t>lil,man  man,s  s,face</t>
  </si>
  <si>
    <t>lost,role  role,model</t>
  </si>
  <si>
    <t>bought,copy</t>
  </si>
  <si>
    <t>steelers,fans  going,find  official,rules  surprised,elected  full,shit  elonmuskaoc,seek  aocpresstwo,surprising  tell,anyone  fans,49ers  necessary,official</t>
  </si>
  <si>
    <t>necessary,official  repost,chance  today,repost  chance,win  purchase,necessary  signings,today  win,purchase  official,rules</t>
  </si>
  <si>
    <t>season,w  starting,season</t>
  </si>
  <si>
    <t>steelers,fans  going,find  49ers,going  find,out  fans,49ers  out,steelers</t>
  </si>
  <si>
    <t>jeremyhl,michaelbathurst  nassimretiere,jeremyhl</t>
  </si>
  <si>
    <t>want,number  up,good  kattenbarge,want  the_romaarmy,kattenbarge  work,chloe  good,work  number,keep  we've,number  keep,up  lady,we've</t>
  </si>
  <si>
    <t>2,utc  utc,join  helicopter,registration  up,win  kicking,#bitget  usdt,even  #kcgi2023,now  18,2  2,650  registration,sets</t>
  </si>
  <si>
    <t>large,n  beautiful,#scenery  new,grads  grads,stipends  delayed,start  bitgetglobal,#kcgi2023  #scenery,attracting  #hangzhou,long  helicopter,registration  up,win</t>
  </si>
  <si>
    <t>beautiful,#scenery  village,allows  #scenery,attracting  number,artists  rural,culture  #hangzhou,long  here,sketch  long,#history  place,relax  relax,enjoy</t>
  </si>
  <si>
    <t>deloitte,offering  new,grads  grads,stipends  offering,new  consulting,firms  bain,deloitte  start,dates  top,consulting  delayed,start  stipends,delayed</t>
  </si>
  <si>
    <t>original,version  mill,jay  element,leaked  including,scrapped  drake,big  version,kendrick  s,element  meek,mill  kendrick,lamar  shots,likes</t>
  </si>
  <si>
    <t>gt,gt  likkle,man  original,version  kieronfish,likkle  element,leaked  u,k  including,scrapped  mimitheblogger,m  version,kendrick  mandy,organised</t>
  </si>
  <si>
    <t>gt,gt  m,huncho  mandy,organised  gt,perfect  huncho,project  project,gt  perfect,weather</t>
  </si>
  <si>
    <t>whole,u  man,d  likkle,man  u,k  d,whole</t>
  </si>
  <si>
    <t>t,co  18,个神仙影视网站  有小伙伴问我从哪里搜索免费的电影资源,我统计了  这些都是免费贼好用的,有需要的可以收藏一下  有需要的可以收藏一下,链接  co,nqgtnx9swu  https,t  个神仙影视网站,这些都是免费贼好用的  我统计了,18  链接,https</t>
  </si>
  <si>
    <t>readwise,save  save,thread  https,t  hitw93,readwise  t,co  链接,https  rickawsb,readwise  hitw93,#工程师学习  jackywine,readwise  岁的美国小伙子,很牛逼</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</si>
  <si>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</si>
  <si>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logo,颜色  fnbems2gc0,一共  图标,配图  t,co  品牌指南,链接  颜色,图标  108,页  co,fnbems2gc0  页,对  openai,品牌指南</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</si>
  <si>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</si>
  <si>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shell,编程还是得系统学  好久没读过这么畅快的书了,shell  line,好久没读过这么畅快的书了  command,line  linux,command  efficient,linux  强烈推荐的一本书,efficient</t>
  </si>
  <si>
    <t>我们不知道明天的走势,更无法预测遥远的  一口气看完,酣畅淋漓  酣畅淋漓,这是我看过表现最好的投资科普视频  分钟讲述投资底层逻辑,一口气看完  年制作的科普视频,30  孟岩耗时,2  更无法预测遥远的,2030  站在此刻,我们不知道明天的走势  30,分钟讲述投资底层逻辑  2,年制作的科普视频</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</si>
  <si>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</si>
  <si>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solve,mathematical  arithmetic,operations  language,models  particularly,multiplication  accurately,perform  problems,without  perform,arithmetic  digits,operations  mathematical,problems  multiplication,gt</t>
  </si>
  <si>
    <t>我自己每次都是先去小抄里find一下,没有的再去google  既然如此我还是推荐你们看我的小抄吧,我自己每次都是先去小抄里find一下</t>
  </si>
  <si>
    <t>s,going  going,peckham</t>
  </si>
  <si>
    <t>我一般会把实用的命令记下来,如果很长  如果很长,用的时候就直接复制粘贴  同感,我一般会把实用的命令记下来  plantegg,同感</t>
  </si>
  <si>
    <t>jokozlowski,jeremyhl  welcome,jo  welcome,peter  effiedog,jokozlowski  effiedog,jaximperator  jaximperator,welcome  jaximperator,jeremyhl  jokozlowski,welcome  nebraskasower,effiedog  jeremyhl,nebraskasower</t>
  </si>
  <si>
    <t>nassimretiere,jeremyhl  jeremyhl,michaelbathurst</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</si>
  <si>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</si>
  <si>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</si>
  <si>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</si>
  <si>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</si>
  <si>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</si>
  <si>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</si>
  <si>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</si>
  <si>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</si>
  <si>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</si>
  <si>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</si>
  <si>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</si>
  <si>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</si>
  <si>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</si>
  <si>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</si>
  <si>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</si>
  <si>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</si>
  <si>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</si>
  <si>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</si>
  <si>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</si>
  <si>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</si>
  <si>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</si>
  <si>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</si>
  <si>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</si>
  <si>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</si>
  <si>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</si>
  <si>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</si>
  <si>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</si>
  <si>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</si>
  <si>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</si>
  <si>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</si>
  <si>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</si>
  <si>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</si>
  <si>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</si>
  <si>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</si>
  <si>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</si>
  <si>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</si>
  <si>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</si>
  <si>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</si>
  <si>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</si>
  <si>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</si>
  <si>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</si>
  <si>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</si>
  <si>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</si>
  <si>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</si>
  <si>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</si>
  <si>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</si>
  <si>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</si>
  <si>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</si>
  <si>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</si>
  <si>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</si>
  <si>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</si>
  <si>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</si>
  <si>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</si>
  <si>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</si>
  <si>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</si>
  <si>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</si>
  <si>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</si>
  <si>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</si>
  <si>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</si>
  <si>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</si>
  <si>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</si>
  <si>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</si>
  <si>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</si>
  <si>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</si>
  <si>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</si>
  <si>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</si>
  <si>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</si>
  <si>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</si>
  <si>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</si>
  <si>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</si>
  <si>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</si>
  <si>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</si>
  <si>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</si>
  <si>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</si>
  <si>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</si>
  <si>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</si>
  <si>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</si>
  <si>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</si>
  <si>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</si>
  <si>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</si>
  <si>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</si>
  <si>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</si>
  <si>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</si>
  <si>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</si>
  <si>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</si>
  <si>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</si>
  <si>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</si>
  <si>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</si>
  <si>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</si>
  <si>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</si>
  <si>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</si>
  <si>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</si>
  <si>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</si>
  <si>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</si>
  <si>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</si>
  <si>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</si>
  <si>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</si>
  <si>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</si>
  <si>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</si>
  <si>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</si>
  <si>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</si>
  <si>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</si>
  <si>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</si>
  <si>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</si>
  <si>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</si>
  <si>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</si>
  <si>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</si>
  <si>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</si>
  <si>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</si>
  <si>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</si>
  <si>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</si>
  <si>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</si>
  <si>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</si>
  <si>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</si>
  <si>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</si>
  <si>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</si>
  <si>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</si>
  <si>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</si>
  <si>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</si>
  <si>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</si>
  <si>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</si>
  <si>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</si>
  <si>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</si>
  <si>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</si>
  <si>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</si>
  <si>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</si>
  <si>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</si>
  <si>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</si>
  <si>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</si>
  <si>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</si>
  <si>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</si>
  <si>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</si>
  <si>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</si>
  <si>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</si>
  <si>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</si>
  <si>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</si>
  <si>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</si>
  <si>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</si>
  <si>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</si>
  <si>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</si>
  <si>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</si>
  <si>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</si>
  <si>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</si>
  <si>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</si>
  <si>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</si>
  <si>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</si>
  <si>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</si>
  <si>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</si>
  <si>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</si>
  <si>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</si>
  <si>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</si>
  <si>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</si>
  <si>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</si>
  <si>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</si>
  <si>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</si>
  <si>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</si>
  <si>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</si>
  <si>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</si>
  <si>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</si>
  <si>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</si>
  <si>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</si>
  <si>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</si>
  <si>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</si>
  <si>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</si>
  <si>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</si>
  <si>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</si>
  <si>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</si>
  <si>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</si>
  <si>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</si>
  <si>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</si>
  <si>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</si>
  <si>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</si>
  <si>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</si>
  <si>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</si>
  <si>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</si>
  <si>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</si>
  <si>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</si>
  <si>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</si>
  <si>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(Entire graph)</t>
  </si>
  <si>
    <t>1.0.1.521</t>
  </si>
  <si>
    <t>TwitterSearch3</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</si>
  <si>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</si>
  <si>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</si>
  <si>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196, 30, 0</t>
  </si>
  <si>
    <t>G1: readwise thread save https t hitw93 co figma 链接 #工程师学习</t>
  </si>
  <si>
    <t>G2: ap #smc2024 #smprofs s social media people friday court market</t>
  </si>
  <si>
    <t>G3: gt s man perfect lost project version whole lamar scrapped</t>
  </si>
  <si>
    <t>G4: fans steelers out elonmuskaoc 49ers official purchase rules win starting</t>
  </si>
  <si>
    <t>G6: nebraskasower jeremyhl welcome effiedog jaximperator jokozlowski</t>
  </si>
  <si>
    <t>G7: village now 2 kicking #scenery large start attracting sets stipends</t>
  </si>
  <si>
    <t>G8: challenging friend especially prayers during sending morocco people times heartfelt</t>
  </si>
  <si>
    <t>G9: number</t>
  </si>
  <si>
    <t>G12: keeps costing everything money</t>
  </si>
  <si>
    <t>G13: house</t>
  </si>
  <si>
    <t>Edge Weight▓1▓14▓0▓True▓Green▓Red▓▓Edge Weight▓1▓3▓0▓5▓10▓False▓Edge Weight▓1▓14▓0▓16▓6▓False▓▓0▓0▓0▓True▓Black▓Black▓▓Followers▓0▓15986495▓0▓162▓1000▓False▓Followers▓0▓156540746▓0▓100▓70▓False▓▓0▓0▓0▓0▓0▓False▓▓0▓0▓0▓0▓0▓False</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</si>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</sst>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0" fillId="3" borderId="1" xfId="27" applyNumberFormat="1" applyFont="1" applyAlignment="1">
      <alignment/>
    </xf>
    <xf numFmtId="0" fontId="0" fillId="2" borderId="1" xfId="20" applyNumberFormat="1" applyFont="1" applyAlignment="1">
      <alignment/>
    </xf>
    <xf numFmtId="0" fontId="0" fillId="0" borderId="7" xfId="0" applyFill="1" applyBorder="1" applyAlignment="1">
      <alignment/>
    </xf>
    <xf numFmtId="1" fontId="0" fillId="4" borderId="1" xfId="24" applyNumberFormat="1" applyBorder="1" applyAlignment="1">
      <alignment/>
    </xf>
    <xf numFmtId="167" fontId="0" fillId="4" borderId="1" xfId="24" applyNumberFormat="1" applyBorder="1" applyAlignment="1">
      <alignment/>
    </xf>
    <xf numFmtId="0" fontId="0" fillId="0" borderId="2" xfId="0" applyFill="1" applyBorder="1" applyAlignment="1">
      <alignment/>
    </xf>
    <xf numFmtId="1" fontId="0" fillId="4" borderId="12" xfId="24" applyNumberFormat="1" applyBorder="1" applyAlignment="1">
      <alignment/>
    </xf>
    <xf numFmtId="167" fontId="0" fillId="4" borderId="12" xfId="24" applyNumberFormat="1" applyBorder="1" applyAlignment="1">
      <alignment/>
    </xf>
    <xf numFmtId="22" fontId="0" fillId="0" borderId="0" xfId="0" applyNumberFormat="1" applyFill="1" applyAlignment="1">
      <alignment/>
    </xf>
    <xf numFmtId="0" fontId="10" fillId="0" borderId="0" xfId="28"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49" fontId="0" fillId="0" borderId="0" xfId="0" applyNumberFormat="1" applyFill="1" applyAlignment="1">
      <alignment/>
    </xf>
    <xf numFmtId="0" fontId="0" fillId="0" borderId="7"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xf numFmtId="1" fontId="0" fillId="4" borderId="10" xfId="24" applyNumberFormat="1" applyBorder="1" applyAlignment="1">
      <alignment/>
    </xf>
    <xf numFmtId="0" fontId="0" fillId="2" borderId="1" xfId="20" applyNumberFormat="1" applyFont="1" applyBorder="1" applyAlignment="1">
      <alignment/>
    </xf>
    <xf numFmtId="0" fontId="0" fillId="0" borderId="0" xfId="0" applyFill="1" applyAlignment="1" quotePrefix="1">
      <alignment/>
    </xf>
    <xf numFmtId="14" fontId="0" fillId="0" borderId="0" xfId="0" applyNumberFormat="1" applyFill="1" applyAlignment="1">
      <alignment/>
    </xf>
    <xf numFmtId="0" fontId="0" fillId="0" borderId="7" xfId="0" applyFill="1" applyBorder="1" applyAlignment="1" quotePrefix="1">
      <alignment/>
    </xf>
    <xf numFmtId="167"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72"/>
      <tableStyleElement type="headerRow" dxfId="571"/>
    </tableStyle>
    <tableStyle name="NodeXL Table" pivot="0" count="1">
      <tableStyleElement type="headerRow" dxfId="5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7137713"/>
        <c:axId val="2495082"/>
      </c:barChart>
      <c:catAx>
        <c:axId val="471377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95082"/>
        <c:crosses val="autoZero"/>
        <c:auto val="1"/>
        <c:lblOffset val="100"/>
        <c:noMultiLvlLbl val="0"/>
      </c:catAx>
      <c:valAx>
        <c:axId val="249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7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8001947"/>
        <c:axId val="53457796"/>
      </c:barChart>
      <c:catAx>
        <c:axId val="80019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57796"/>
        <c:crosses val="autoZero"/>
        <c:auto val="1"/>
        <c:lblOffset val="100"/>
        <c:noMultiLvlLbl val="0"/>
      </c:catAx>
      <c:valAx>
        <c:axId val="53457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1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7195493"/>
        <c:axId val="6639230"/>
      </c:barChart>
      <c:catAx>
        <c:axId val="271954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9230"/>
        <c:crosses val="autoZero"/>
        <c:auto val="1"/>
        <c:lblOffset val="100"/>
        <c:noMultiLvlLbl val="0"/>
      </c:catAx>
      <c:valAx>
        <c:axId val="6639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95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2891791"/>
        <c:axId val="28912984"/>
      </c:barChart>
      <c:catAx>
        <c:axId val="428917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12984"/>
        <c:crosses val="autoZero"/>
        <c:auto val="1"/>
        <c:lblOffset val="100"/>
        <c:noMultiLvlLbl val="0"/>
      </c:catAx>
      <c:valAx>
        <c:axId val="2891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91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7427353"/>
        <c:axId val="52984338"/>
      </c:barChart>
      <c:catAx>
        <c:axId val="374273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84338"/>
        <c:crosses val="autoZero"/>
        <c:auto val="1"/>
        <c:lblOffset val="100"/>
        <c:noMultiLvlLbl val="0"/>
      </c:catAx>
      <c:valAx>
        <c:axId val="52984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08387"/>
        <c:axId val="11878060"/>
      </c:barChart>
      <c:catAx>
        <c:axId val="2083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78060"/>
        <c:crosses val="autoZero"/>
        <c:auto val="1"/>
        <c:lblOffset val="100"/>
        <c:noMultiLvlLbl val="0"/>
      </c:catAx>
      <c:valAx>
        <c:axId val="1187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960781"/>
        <c:axId val="4220198"/>
      </c:barChart>
      <c:catAx>
        <c:axId val="5960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0198"/>
        <c:crosses val="autoZero"/>
        <c:auto val="1"/>
        <c:lblOffset val="100"/>
        <c:noMultiLvlLbl val="0"/>
      </c:catAx>
      <c:valAx>
        <c:axId val="4220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9224695"/>
        <c:axId val="21215104"/>
      </c:barChart>
      <c:catAx>
        <c:axId val="39224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15104"/>
        <c:crosses val="autoZero"/>
        <c:auto val="1"/>
        <c:lblOffset val="100"/>
        <c:noMultiLvlLbl val="0"/>
      </c:catAx>
      <c:valAx>
        <c:axId val="21215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2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301377"/>
        <c:axId val="7069626"/>
      </c:barChart>
      <c:catAx>
        <c:axId val="1301377"/>
        <c:scaling>
          <c:orientation val="minMax"/>
        </c:scaling>
        <c:axPos val="b"/>
        <c:delete val="1"/>
        <c:majorTickMark val="out"/>
        <c:minorTickMark val="none"/>
        <c:tickLblPos val="none"/>
        <c:crossAx val="7069626"/>
        <c:crosses val="autoZero"/>
        <c:auto val="1"/>
        <c:lblOffset val="100"/>
        <c:noMultiLvlLbl val="0"/>
      </c:catAx>
      <c:valAx>
        <c:axId val="7069626"/>
        <c:scaling>
          <c:orientation val="minMax"/>
        </c:scaling>
        <c:axPos val="l"/>
        <c:delete val="1"/>
        <c:majorTickMark val="out"/>
        <c:minorTickMark val="none"/>
        <c:tickLblPos val="none"/>
        <c:crossAx val="13013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ebraskasow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aximperato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ouiselyons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ntothen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eremyl759465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29cie3xev6p0y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eremyl7241022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youtub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iyo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xuemanzi884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hlam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aoshen0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eremyl780368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icoleevien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ahsh33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dfla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eremyl2145748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ocpresstw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49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lonmuska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bcs49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l_chap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assimretie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ichaelbathur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eremylammert7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ttenbar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_romaarm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itgetglob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eremyl2p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iandevisi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avichtak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eremyl_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imitheblog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ieronfis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rypto_qianxu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eremyl9931399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bearbi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tium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ackyw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ia91722901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ickaws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punk289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eadwi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hitw9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_akhaliq"/>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lanteg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nstigator_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syangchs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eremyl5135738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lonmus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insidehighere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nytim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arscuriou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DX131" totalsRowShown="0" headerRowDxfId="569" dataDxfId="478">
  <autoFilter ref="A2:DX131"/>
  <tableColumns count="128">
    <tableColumn id="1" name="Vertex 1" dataDxfId="439"/>
    <tableColumn id="2" name="Vertex 2" dataDxfId="437"/>
    <tableColumn id="3" name="Color" dataDxfId="438"/>
    <tableColumn id="4" name="Width" dataDxfId="524"/>
    <tableColumn id="11" name="Style" dataDxfId="523"/>
    <tableColumn id="5" name="Opacity" dataDxfId="522"/>
    <tableColumn id="6" name="Visibility" dataDxfId="521"/>
    <tableColumn id="10" name="Label" dataDxfId="520"/>
    <tableColumn id="12" name="Label Text Color" dataDxfId="519"/>
    <tableColumn id="13" name="Label Font Size" dataDxfId="518"/>
    <tableColumn id="14" name="Reciprocated?" dataDxfId="295"/>
    <tableColumn id="7" name="ID" dataDxfId="517"/>
    <tableColumn id="9" name="Dynamic Filter" dataDxfId="516"/>
    <tableColumn id="8" name="Add Your Own Columns Here" dataDxfId="436"/>
    <tableColumn id="15" name="Relationship" dataDxfId="435"/>
    <tableColumn id="16" name="Relationship Date (UTC)" dataDxfId="434"/>
    <tableColumn id="17" name="Tweet" dataDxfId="430"/>
    <tableColumn id="18" name="URLs in Tweet" dataDxfId="429"/>
    <tableColumn id="19" name="Domains in Tweet" dataDxfId="428"/>
    <tableColumn id="20" name="Hashtags in Tweet" dataDxfId="420"/>
    <tableColumn id="21" name="Tweet Date (UTC)" dataDxfId="418"/>
    <tableColumn id="22" name="Twitter Page for Tweet" dataDxfId="419"/>
    <tableColumn id="23" name="Latitude" dataDxfId="421"/>
    <tableColumn id="24" name="Longitude" dataDxfId="399"/>
    <tableColumn id="25" name="Imported ID" dataDxfId="397"/>
    <tableColumn id="26" name="In-Reply-To Tweet ID" dataDxfId="398"/>
    <tableColumn id="27" name="Edge Weight" dataDxfId="515"/>
    <tableColumn id="28" name="Sentiment List #1: Positive Word Count" dataDxfId="514"/>
    <tableColumn id="29" name="Sentiment List #1: Positive Word Percentage (%)" dataDxfId="513"/>
    <tableColumn id="30" name="Sentiment List #2: Negative Word Count" dataDxfId="512"/>
    <tableColumn id="31" name="Sentiment List #2: Negative Word Percentage (%)" dataDxfId="511"/>
    <tableColumn id="32" name="Sentiment List #3: (Add your own word list) Word Count" dataDxfId="510"/>
    <tableColumn id="33" name="Sentiment List #3: (Add your own word list) Word Percentage (%)" dataDxfId="49"/>
    <tableColumn id="34" name="Non-categorized Word Count" dataDxfId="48"/>
    <tableColumn id="35" name="Non-categorized Word Percentage (%)" dataDxfId="47"/>
    <tableColumn id="36" name="Edge Content Word Count" dataDxfId="45"/>
    <tableColumn id="37" name="Media in Tweet" dataDxfId="46"/>
    <tableColumn id="38" name="Tweet Image File" dataDxfId="400"/>
    <tableColumn id="39" name="Favorited" dataDxfId="401"/>
    <tableColumn id="40" name="Favorite Count" dataDxfId="432"/>
    <tableColumn id="41" name="In-Reply-To User ID" dataDxfId="433"/>
    <tableColumn id="42" name="Is Quote Status" dataDxfId="422"/>
    <tableColumn id="43" name="Language" dataDxfId="417"/>
    <tableColumn id="44" name="Possibly Sensitive" dataDxfId="393"/>
    <tableColumn id="45" name="Quoted Status ID" dataDxfId="391"/>
    <tableColumn id="46" name="Retweeted" dataDxfId="392"/>
    <tableColumn id="47" name="Retweet Count" dataDxfId="390"/>
    <tableColumn id="48" name="Retweet ID" dataDxfId="388"/>
    <tableColumn id="49" name="Source" dataDxfId="389"/>
    <tableColumn id="50" name="Truncated" dataDxfId="387"/>
    <tableColumn id="51" name="Unified Twitter ID" dataDxfId="385"/>
    <tableColumn id="52" name="Imported Tweet Type" dataDxfId="386"/>
    <tableColumn id="53" name="Added By Extended Analysis" dataDxfId="509"/>
    <tableColumn id="54" name="Corrected By Extended Analysis" dataDxfId="416"/>
    <tableColumn id="55" name="Place Bounding Box" dataDxfId="415"/>
    <tableColumn id="56" name="Place Country" dataDxfId="414"/>
    <tableColumn id="57" name="Place Country Code" dataDxfId="413"/>
    <tableColumn id="58" name="Place Full Name" dataDxfId="412"/>
    <tableColumn id="59" name="Place ID" dataDxfId="411"/>
    <tableColumn id="60" name="Place Name" dataDxfId="410"/>
    <tableColumn id="61" name="Place Type" dataDxfId="409"/>
    <tableColumn id="62" name="Place URL" dataDxfId="313"/>
    <tableColumn id="63" name="Vertex 1 Group" dataDxfId="312">
      <calculatedColumnFormula>REPLACE(INDEX(GroupVertices[Group], MATCH(Edges[[#This Row],[Vertex 1]],GroupVertices[Vertex],0)),1,1,"")</calculatedColumnFormula>
    </tableColumn>
    <tableColumn id="64" name="Vertex 2 Group" dataDxfId="310">
      <calculatedColumnFormula>REPLACE(INDEX(GroupVertices[Group], MATCH(Edges[[#This Row],[Vertex 2]],GroupVertices[Vertex],0)),1,1,"")</calculatedColumnFormula>
    </tableColumn>
    <tableColumn id="65" name="Date" dataDxfId="311"/>
    <tableColumn id="66" name="Time" dataDxfId="57"/>
    <tableColumn id="67" name="Sentiment List #1: List1 Word Count" dataDxfId="56"/>
    <tableColumn id="68" name="Sentiment List #1: List1 Word Percentage (%)" dataDxfId="55"/>
    <tableColumn id="69" name="Sentiment List #2: List2 Word Count" dataDxfId="54"/>
    <tableColumn id="70" name="Sentiment List #2: List2 Word Percentage (%)" dataDxfId="53"/>
    <tableColumn id="71" name="Sentiment List #3: List3 Word Count" dataDxfId="52"/>
    <tableColumn id="72" name="Sentiment List #3: List3 Word Percentage (%)" dataDxfId="50"/>
    <tableColumn id="73" name="Reply Count" dataDxfId="51"/>
    <tableColumn id="74" name="Quote Count" dataDxfId="431"/>
    <tableColumn id="75" name="Impression Count" dataDxfId="427"/>
    <tableColumn id="76" name="Mentions in Tweet" dataDxfId="426"/>
    <tableColumn id="77" name="Cashtags in Tweet" dataDxfId="425"/>
    <tableColumn id="78" name="Media Type" dataDxfId="423"/>
    <tableColumn id="79" name="Reply Settings" dataDxfId="424"/>
    <tableColumn id="80" name="Annotations" dataDxfId="508"/>
    <tableColumn id="81" name="Context Annotations" dataDxfId="408"/>
    <tableColumn id="82" name="Media Key" dataDxfId="407"/>
    <tableColumn id="83" name="Media Duration (ms)" dataDxfId="406"/>
    <tableColumn id="84" name="Media Height" dataDxfId="405"/>
    <tableColumn id="85" name="Media Width" dataDxfId="404"/>
    <tableColumn id="86" name="Media View Count" dataDxfId="402"/>
    <tableColumn id="87" name="Media Alt Text" dataDxfId="403"/>
    <tableColumn id="88" name="Media Variants" dataDxfId="396"/>
    <tableColumn id="89" name="Conversation ID" dataDxfId="395"/>
    <tableColumn id="90" name="In Reply To User ID" dataDxfId="394"/>
    <tableColumn id="91" name="In Reply To Tweet ID" dataDxfId="384"/>
    <tableColumn id="92" name="Author ID" dataDxfId="383"/>
    <tableColumn id="93" name="Withheld" dataDxfId="382"/>
    <tableColumn id="94" name="Poll ID" dataDxfId="381"/>
    <tableColumn id="95" name="Poll Options" dataDxfId="380"/>
    <tableColumn id="96" name="Poll Duration" dataDxfId="379"/>
    <tableColumn id="97" name="Poll End Date" dataDxfId="378"/>
    <tableColumn id="98" name="Poll Voting Status" dataDxfId="376"/>
    <tableColumn id="99" name="Relationship Date" dataDxfId="377"/>
    <tableColumn id="100" name="Text" dataDxfId="507"/>
    <tableColumn id="101" name="Media in Post" dataDxfId="506"/>
    <tableColumn id="102" name="Subreddit" dataDxfId="505"/>
    <tableColumn id="103" name="Author" dataDxfId="504"/>
    <tableColumn id="104" name="Fullname" dataDxfId="503"/>
    <tableColumn id="105" name="Permalink" dataDxfId="502"/>
    <tableColumn id="106" name="Created Date" dataDxfId="501"/>
    <tableColumn id="107" name="Edited Date" dataDxfId="500"/>
    <tableColumn id="108" name="Removed" dataDxfId="499"/>
    <tableColumn id="109" name="Spam" dataDxfId="498"/>
    <tableColumn id="110" name="Score" dataDxfId="497"/>
    <tableColumn id="111" name="Up Votes" dataDxfId="496"/>
    <tableColumn id="112" name="Down Votes" dataDxfId="495"/>
    <tableColumn id="113" name="Awards" dataDxfId="494"/>
    <tableColumn id="114" name="Is Upvoted" dataDxfId="493"/>
    <tableColumn id="115" name="Is Downvoted" dataDxfId="492"/>
    <tableColumn id="116" name="Post Title" dataDxfId="491"/>
    <tableColumn id="117" name="Not Safe For Work" dataDxfId="490"/>
    <tableColumn id="118" name="Upvote Ratio" dataDxfId="489"/>
    <tableColumn id="119" name="Parent ID" dataDxfId="488"/>
    <tableColumn id="120" name="Parent Fullname" dataDxfId="487"/>
    <tableColumn id="121" name="Unified Reddit ID" dataDxfId="486"/>
    <tableColumn id="122" name="Number of Replies" dataDxfId="485"/>
    <tableColumn id="123" name="Root" dataDxfId="484"/>
    <tableColumn id="124" name="Is Submitter" dataDxfId="483"/>
    <tableColumn id="125" name="Collapsed" dataDxfId="482"/>
    <tableColumn id="126" name="Collapsed Reason" dataDxfId="481"/>
    <tableColumn id="127" name="Score Hidden" dataDxfId="480"/>
    <tableColumn id="128" name="Depth" dataDxfId="4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538" dataDxfId="537">
  <autoFilter ref="A2:C1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DV67" totalsRowShown="0" headerRowDxfId="568" dataDxfId="440">
  <autoFilter ref="A2:DV67"/>
  <sortState ref="A3:BJ18">
    <sortCondition descending="1" sortBy="value" ref="V3:V18"/>
  </sortState>
  <tableColumns count="126">
    <tableColumn id="1" name="Vertex" dataDxfId="477"/>
    <tableColumn id="62" name="Subgraph" dataDxfId="476"/>
    <tableColumn id="2" name="Color" dataDxfId="475"/>
    <tableColumn id="5" name="Shape" dataDxfId="474"/>
    <tableColumn id="6" name="Size" dataDxfId="473"/>
    <tableColumn id="4" name="Opacity" dataDxfId="329"/>
    <tableColumn id="7" name="Image File" dataDxfId="327"/>
    <tableColumn id="3" name="Visibility" dataDxfId="328"/>
    <tableColumn id="10" name="Label" dataDxfId="472"/>
    <tableColumn id="16" name="Label Fill Color" dataDxfId="471"/>
    <tableColumn id="9" name="Label Position" dataDxfId="323"/>
    <tableColumn id="8" name="Tooltip" dataDxfId="321"/>
    <tableColumn id="18" name="Layout Order" dataDxfId="322"/>
    <tableColumn id="13" name="X" dataDxfId="470"/>
    <tableColumn id="14" name="Y" dataDxfId="469"/>
    <tableColumn id="12" name="Locked?" dataDxfId="468"/>
    <tableColumn id="19" name="Polar R" dataDxfId="467"/>
    <tableColumn id="20" name="Polar Angle" dataDxfId="46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465"/>
    <tableColumn id="28" name="Dynamic Filter" dataDxfId="464"/>
    <tableColumn id="17" name="Add Your Own Columns Here" dataDxfId="375"/>
    <tableColumn id="30" name="Name" dataDxfId="374"/>
    <tableColumn id="31" name="Followed" dataDxfId="373"/>
    <tableColumn id="32" name="Followers" dataDxfId="372"/>
    <tableColumn id="33" name="Tweets" dataDxfId="370"/>
    <tableColumn id="34" name="Favorites" dataDxfId="371"/>
    <tableColumn id="35" name="Time Zone UTC Offset (Seconds)" dataDxfId="362"/>
    <tableColumn id="36" name="Description" dataDxfId="360"/>
    <tableColumn id="37" name="Location" dataDxfId="361"/>
    <tableColumn id="38" name="Web" dataDxfId="363"/>
    <tableColumn id="39" name="Time Zone" dataDxfId="364"/>
    <tableColumn id="40" name="Joined Twitter Date (UTC)" dataDxfId="337"/>
    <tableColumn id="41" name="Profile Banner Url" dataDxfId="335"/>
    <tableColumn id="42" name="Default Profile" dataDxfId="336"/>
    <tableColumn id="43" name="Default Profile Image" dataDxfId="341"/>
    <tableColumn id="44" name="Geo Enabled" dataDxfId="342"/>
    <tableColumn id="45" name="Language" dataDxfId="369"/>
    <tableColumn id="46" name="Listed Count" dataDxfId="368"/>
    <tableColumn id="47" name="Profile Background Image Url" dataDxfId="365"/>
    <tableColumn id="48" name="Verified" dataDxfId="326"/>
    <tableColumn id="49" name="Custom Menu Item Text" dataDxfId="325"/>
    <tableColumn id="50" name="Custom Menu Item Action" dataDxfId="324"/>
    <tableColumn id="51" name="Tweeted Search Term?" dataDxfId="92"/>
    <tableColumn id="52" name="Top URLs in Tweet by Count" dataDxfId="91"/>
    <tableColumn id="53" name="Top URLs in Tweet by Salience" dataDxfId="90"/>
    <tableColumn id="54" name="Top Domains in Tweet by Count" dataDxfId="89"/>
    <tableColumn id="55" name="Top Domains in Tweet by Salience" dataDxfId="88"/>
    <tableColumn id="56" name="Top Hashtags in Tweet by Count" dataDxfId="87"/>
    <tableColumn id="57" name="Top Hashtags in Tweet by Salience" dataDxfId="86"/>
    <tableColumn id="58" name="Top Words in Tweet by Count" dataDxfId="85"/>
    <tableColumn id="59" name="Top Words in Tweet by Salience" dataDxfId="84"/>
    <tableColumn id="60" name="Top Word Pairs in Tweet by Count" dataDxfId="83"/>
    <tableColumn id="61" name="Top Word Pairs in Tweet by Salience" dataDxfId="81"/>
    <tableColumn id="63" name="Sentiment List #1: Positive Word Count" dataDxfId="82"/>
    <tableColumn id="64" name="Sentiment List #1: Positive Word Percentage (%)" dataDxfId="463"/>
    <tableColumn id="65" name="Sentiment List #2: Negative Word Count" dataDxfId="462"/>
    <tableColumn id="66" name="Sentiment List #2: Negative Word Percentage (%)" dataDxfId="461"/>
    <tableColumn id="67" name="Sentiment List #3: (Add your own word list) Word Count" dataDxfId="460"/>
    <tableColumn id="68" name="Sentiment List #3: (Add your own word list) Word Percentage (%)" dataDxfId="36"/>
    <tableColumn id="69" name="Non-categorized Word Count" dataDxfId="35"/>
    <tableColumn id="70" name="Non-categorized Word Percentage (%)" dataDxfId="34"/>
    <tableColumn id="71" name="Vertex Content Word Count" dataDxfId="32"/>
    <tableColumn id="72" name="Vertex Group" dataDxfId="33">
      <calculatedColumnFormula>REPLACE(INDEX(GroupVertices[Group], MATCH(Vertices[[#This Row],[Vertex]],GroupVertices[Vertex],0)),1,1,"")</calculatedColumnFormula>
    </tableColumn>
    <tableColumn id="73" name="User ID" dataDxfId="44"/>
    <tableColumn id="74" name="Sentiment List #1: List1 Word Count" dataDxfId="43"/>
    <tableColumn id="75" name="Sentiment List #1: List1 Word Percentage (%)" dataDxfId="42"/>
    <tableColumn id="76" name="Sentiment List #2: List2 Word Count" dataDxfId="41"/>
    <tableColumn id="77" name="Sentiment List #2: List2 Word Percentage (%)" dataDxfId="40"/>
    <tableColumn id="78" name="Sentiment List #3: List3 Word Count" dataDxfId="39"/>
    <tableColumn id="79" name="Sentiment List #3: List3 Word Percentage (%)" dataDxfId="37"/>
    <tableColumn id="80" name="Verified Type" dataDxfId="38"/>
    <tableColumn id="81" name="Protected" dataDxfId="359"/>
    <tableColumn id="82" name="URLs (Details)" dataDxfId="358"/>
    <tableColumn id="83" name="Expanded URLs (Details)" dataDxfId="357"/>
    <tableColumn id="84" name="Display URLs (Details)" dataDxfId="356"/>
    <tableColumn id="85" name="Description URLs (Details)" dataDxfId="355"/>
    <tableColumn id="86" name="Description Expanded URLs (Details)" dataDxfId="354"/>
    <tableColumn id="87" name="Description Display URLS (Details)" dataDxfId="352"/>
    <tableColumn id="88" name="Description Hashtags" dataDxfId="353"/>
    <tableColumn id="89" name="Description Mentions" dataDxfId="459"/>
    <tableColumn id="90" name="Description Cashtags" dataDxfId="351"/>
    <tableColumn id="91" name="Pinned Tweet ID" dataDxfId="350"/>
    <tableColumn id="92" name="URL" dataDxfId="348"/>
    <tableColumn id="93" name="Created" dataDxfId="349"/>
    <tableColumn id="94" name="Number of Friends" dataDxfId="458"/>
    <tableColumn id="95" name="Link Karma" dataDxfId="457"/>
    <tableColumn id="96" name="Comment Karma" dataDxfId="456"/>
    <tableColumn id="97" name="Inbox Count" dataDxfId="455"/>
    <tableColumn id="98" name="Is Friend" dataDxfId="454"/>
    <tableColumn id="99" name="Profanity Filter" dataDxfId="453"/>
    <tableColumn id="100" name="Is Suspended" dataDxfId="452"/>
    <tableColumn id="101" name="Has Gold Subscription" dataDxfId="451"/>
    <tableColumn id="102" name="Is Verified" dataDxfId="450"/>
    <tableColumn id="103" name="Has New Modmail" dataDxfId="449"/>
    <tableColumn id="104" name="Full Name" dataDxfId="448"/>
    <tableColumn id="105" name="Over 18" dataDxfId="447"/>
    <tableColumn id="106" name="Is Gold" dataDxfId="446"/>
    <tableColumn id="107" name="Is Mod" dataDxfId="445"/>
    <tableColumn id="108" name="Icon Image" dataDxfId="444"/>
    <tableColumn id="109" name="Has Modmail" dataDxfId="443"/>
    <tableColumn id="110" name="Has Mail" dataDxfId="442"/>
    <tableColumn id="111" name="Has Subscribed" dataDxfId="441"/>
    <tableColumn id="112" name="Has Verified Email" dataDxfId="367"/>
    <tableColumn id="113" name="Favourites Count" dataDxfId="366"/>
    <tableColumn id="114" name="Media Count" dataDxfId="347"/>
    <tableColumn id="115" name="Is Blue Verified" dataDxfId="346"/>
    <tableColumn id="116" name="You Are Followed By" dataDxfId="345"/>
    <tableColumn id="117" name="You Are Following" dataDxfId="344"/>
    <tableColumn id="118" name="Can DM" dataDxfId="343"/>
    <tableColumn id="119" name="Can Media Tag" dataDxfId="340"/>
    <tableColumn id="120" name="Has Custom Timelines" dataDxfId="339"/>
    <tableColumn id="121" name="Is Translator" dataDxfId="338"/>
    <tableColumn id="122" name="Possibly Sensitive" dataDxfId="334"/>
    <tableColumn id="123" name="Profile Interstitial Type" dataDxfId="333"/>
    <tableColumn id="124" name="Translator Type" dataDxfId="332"/>
    <tableColumn id="125" name="Want Retweets" dataDxfId="331"/>
    <tableColumn id="126" name="Withheld" dataDxfId="33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4" totalsRowShown="0" headerRowDxfId="80" dataDxfId="79">
  <autoFilter ref="A1:G524"/>
  <tableColumns count="7">
    <tableColumn id="1" name="Word" dataDxfId="78"/>
    <tableColumn id="2" name="Count" dataDxfId="77"/>
    <tableColumn id="3" name="Salience" dataDxfId="76"/>
    <tableColumn id="4" name="Group" dataDxfId="75"/>
    <tableColumn id="5" name="Word on Sentiment List #1: List1" dataDxfId="74"/>
    <tableColumn id="6" name="Word on Sentiment List #2: List2" dataDxfId="73"/>
    <tableColumn id="7" name="Word on Sentiment List #3: List3" dataDxfId="72"/>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7" totalsRowShown="0" headerRowDxfId="71" dataDxfId="70">
  <autoFilter ref="A1:L417"/>
  <tableColumns count="12">
    <tableColumn id="1" name="Word 1" dataDxfId="69"/>
    <tableColumn id="2" name="Word 2" dataDxfId="68"/>
    <tableColumn id="3" name="Count" dataDxfId="67"/>
    <tableColumn id="4" name="Salience" dataDxfId="66"/>
    <tableColumn id="5" name="Mutual Information" dataDxfId="65"/>
    <tableColumn id="6" name="Group" dataDxfId="64"/>
    <tableColumn id="7" name="Word1 on Sentiment List #1: List1" dataDxfId="63"/>
    <tableColumn id="8" name="Word1 on Sentiment List #2: List2" dataDxfId="62"/>
    <tableColumn id="9" name="Word1 on Sentiment List #3: List3" dataDxfId="61"/>
    <tableColumn id="10" name="Word2 on Sentiment List #1: List1" dataDxfId="60"/>
    <tableColumn id="11" name="Word2 on Sentiment List #2: List2" dataDxfId="59"/>
    <tableColumn id="12" name="Word2 on Sentiment List #3: List3" dataDxfId="58"/>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536" dataDxfId="535">
  <autoFilter ref="A1:D407"/>
  <tableColumns count="4">
    <tableColumn id="1" name="VertexID" dataDxfId="534"/>
    <tableColumn id="2" name="Word" dataDxfId="533"/>
    <tableColumn id="3" name="Imported ID" dataDxfId="532"/>
    <tableColumn id="4" name="Date" dataDxfId="531"/>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530" dataDxfId="529">
  <autoFilter ref="A1:B176"/>
  <tableColumns count="2">
    <tableColumn id="1" name="Word" dataDxfId="528"/>
    <tableColumn id="2" name="List" dataDxfId="52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526" dataDxfId="52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567">
  <autoFilter ref="A2:AU16"/>
  <tableColumns count="47">
    <tableColumn id="1" name="Group" dataDxfId="320"/>
    <tableColumn id="2" name="Vertex Color" dataDxfId="319"/>
    <tableColumn id="3" name="Vertex Shape" dataDxfId="317"/>
    <tableColumn id="22" name="Visibility" dataDxfId="318"/>
    <tableColumn id="4" name="Collapsed?"/>
    <tableColumn id="18" name="Label" dataDxfId="566"/>
    <tableColumn id="20" name="Collapsed X"/>
    <tableColumn id="21" name="Collapsed Y"/>
    <tableColumn id="6" name="ID" dataDxfId="565"/>
    <tableColumn id="19" name="Collapsed Properties" dataDxfId="309"/>
    <tableColumn id="5" name="Vertices" dataDxfId="308"/>
    <tableColumn id="7" name="Unique Edges" dataDxfId="307"/>
    <tableColumn id="8" name="Edges With Duplicates" dataDxfId="306"/>
    <tableColumn id="9" name="Total Edges" dataDxfId="305"/>
    <tableColumn id="10" name="Self-Loops" dataDxfId="304"/>
    <tableColumn id="24" name="Reciprocated Vertex Pair Ratio" dataDxfId="303"/>
    <tableColumn id="25" name="Reciprocated Edge Ratio" dataDxfId="302"/>
    <tableColumn id="11" name="Connected Components" dataDxfId="301"/>
    <tableColumn id="12" name="Single-Vertex Connected Components" dataDxfId="300"/>
    <tableColumn id="13" name="Maximum Vertices in a Connected Component" dataDxfId="299"/>
    <tableColumn id="14" name="Maximum Edges in a Connected Component" dataDxfId="298"/>
    <tableColumn id="15" name="Maximum Geodesic Distance (Diameter)" dataDxfId="297"/>
    <tableColumn id="16" name="Average Geodesic Distance" dataDxfId="296"/>
    <tableColumn id="17" name="Graph Density" dataDxfId="270"/>
    <tableColumn id="23" name="Top URLs in Tweet" dataDxfId="245"/>
    <tableColumn id="26" name="Top Domains in Tweet" dataDxfId="220"/>
    <tableColumn id="27" name="Top Hashtags in Tweet" dataDxfId="195"/>
    <tableColumn id="28" name="Top Words in Tweet" dataDxfId="170"/>
    <tableColumn id="29" name="Top Word Pairs in Tweet" dataDxfId="121"/>
    <tableColumn id="30" name="Top Replied-To in Tweet" dataDxfId="120"/>
    <tableColumn id="31" name="Top Mentioned in Tweet" dataDxfId="95"/>
    <tableColumn id="32" name="Top Tweeters" dataDxfId="93"/>
    <tableColumn id="33" name="Sentiment List #1: Positive Word Count" dataDxfId="94"/>
    <tableColumn id="34" name="Sentiment List #1: Positive Word Percentage (%)" dataDxfId="564"/>
    <tableColumn id="35" name="Sentiment List #2: Negative Word Count" dataDxfId="563"/>
    <tableColumn id="36" name="Sentiment List #2: Negative Word Percentage (%)" dataDxfId="562"/>
    <tableColumn id="37" name="Sentiment List #3: (Add your own word list) Word Count" dataDxfId="561"/>
    <tableColumn id="38" name="Sentiment List #3: (Add your own word list) Word Percentage (%)" dataDxfId="26"/>
    <tableColumn id="39" name="Non-categorized Word Count" dataDxfId="25"/>
    <tableColumn id="40" name="Non-categorized Word Percentage (%)" dataDxfId="24"/>
    <tableColumn id="41" name="Group Content Word Count" dataDxfId="22"/>
    <tableColumn id="42" name="Sentiment List #1: List1 Word Count" dataDxfId="23"/>
    <tableColumn id="43" name="Sentiment List #1: List1 Word Percentage (%)" dataDxfId="31"/>
    <tableColumn id="44" name="Sentiment List #2: List2 Word Count" dataDxfId="30"/>
    <tableColumn id="45" name="Sentiment List #2: List2 Word Percentage (%)" dataDxfId="29"/>
    <tableColumn id="46" name="Sentiment List #3: List3 Word Count" dataDxfId="28"/>
    <tableColumn id="47" name="Sentiment List #3: List3 Word Percentage (%)"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560" dataDxfId="559">
  <autoFilter ref="A1:C66"/>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558"/>
    <tableColumn id="2" name="Degree Frequency" dataDxfId="557">
      <calculatedColumnFormula>COUNTIF(Vertices[Degree], "&gt;= " &amp; D2) - COUNTIF(Vertices[Degree], "&gt;=" &amp; D3)</calculatedColumnFormula>
    </tableColumn>
    <tableColumn id="3" name="In-Degree Bin" dataDxfId="556"/>
    <tableColumn id="4" name="In-Degree Frequency" dataDxfId="555">
      <calculatedColumnFormula>COUNTIF(Vertices[In-Degree], "&gt;= " &amp; F2) - COUNTIF(Vertices[In-Degree], "&gt;=" &amp; F3)</calculatedColumnFormula>
    </tableColumn>
    <tableColumn id="5" name="Out-Degree Bin" dataDxfId="554"/>
    <tableColumn id="6" name="Out-Degree Frequency" dataDxfId="553">
      <calculatedColumnFormula>COUNTIF(Vertices[Out-Degree], "&gt;= " &amp; H2) - COUNTIF(Vertices[Out-Degree], "&gt;=" &amp; H3)</calculatedColumnFormula>
    </tableColumn>
    <tableColumn id="7" name="Betweenness Centrality Bin" dataDxfId="552"/>
    <tableColumn id="8" name="Betweenness Centrality Frequency" dataDxfId="551">
      <calculatedColumnFormula>COUNTIF(Vertices[Betweenness Centrality], "&gt;= " &amp; J2) - COUNTIF(Vertices[Betweenness Centrality], "&gt;=" &amp; J3)</calculatedColumnFormula>
    </tableColumn>
    <tableColumn id="9" name="Closeness Centrality Bin" dataDxfId="550"/>
    <tableColumn id="10" name="Closeness Centrality Frequency" dataDxfId="549">
      <calculatedColumnFormula>COUNTIF(Vertices[Closeness Centrality], "&gt;= " &amp; L2) - COUNTIF(Vertices[Closeness Centrality], "&gt;=" &amp; L3)</calculatedColumnFormula>
    </tableColumn>
    <tableColumn id="11" name="Eigenvector Centrality Bin" dataDxfId="548"/>
    <tableColumn id="12" name="Eigenvector Centrality Frequency" dataDxfId="547">
      <calculatedColumnFormula>COUNTIF(Vertices[Eigenvector Centrality], "&gt;= " &amp; N2) - COUNTIF(Vertices[Eigenvector Centrality], "&gt;=" &amp; N3)</calculatedColumnFormula>
    </tableColumn>
    <tableColumn id="18" name="PageRank Bin" dataDxfId="546"/>
    <tableColumn id="17" name="PageRank Frequency" dataDxfId="545">
      <calculatedColumnFormula>COUNTIF(Vertices[Eigenvector Centrality], "&gt;= " &amp; P2) - COUNTIF(Vertices[Eigenvector Centrality], "&gt;=" &amp; P3)</calculatedColumnFormula>
    </tableColumn>
    <tableColumn id="13" name="Clustering Coefficient Bin" dataDxfId="544"/>
    <tableColumn id="14" name="Clustering Coefficient Frequency" dataDxfId="543">
      <calculatedColumnFormula>COUNTIF(Vertices[Clustering Coefficient], "&gt;= " &amp; R2) - COUNTIF(Vertices[Clustering Coefficient], "&gt;=" &amp; R3)</calculatedColumnFormula>
    </tableColumn>
    <tableColumn id="15" name="Dynamic Filter Bin" dataDxfId="542"/>
    <tableColumn id="16" name="Dynamic Filter Frequency" dataDxfId="5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Graph Image URL" dataDxfId="16"/>
    <tableColumn id="2" name="Not Available" dataDxfId="15"/>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54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6" t="s">
        <v>39</v>
      </c>
      <c r="D1" s="17"/>
      <c r="E1" s="17"/>
      <c r="F1" s="17"/>
      <c r="G1" s="16"/>
      <c r="H1" s="14" t="s">
        <v>43</v>
      </c>
      <c r="I1" s="50"/>
      <c r="J1" s="50"/>
      <c r="K1" s="33" t="s">
        <v>42</v>
      </c>
      <c r="L1" s="18" t="s">
        <v>40</v>
      </c>
      <c r="M1" s="18"/>
      <c r="N1" s="15" t="s">
        <v>41</v>
      </c>
    </row>
    <row r="2" spans="1:128" ht="30" customHeight="1">
      <c r="A2" s="96" t="s">
        <v>0</v>
      </c>
      <c r="B2" s="96" t="s">
        <v>1</v>
      </c>
      <c r="C2" s="13" t="s">
        <v>2</v>
      </c>
      <c r="D2" s="13" t="s">
        <v>3</v>
      </c>
      <c r="E2" s="13" t="s">
        <v>129</v>
      </c>
      <c r="F2" s="13" t="s">
        <v>4</v>
      </c>
      <c r="G2" s="13" t="s">
        <v>11</v>
      </c>
      <c r="H2" s="11" t="s">
        <v>46</v>
      </c>
      <c r="I2" s="13" t="s">
        <v>159</v>
      </c>
      <c r="J2" s="13" t="s">
        <v>160</v>
      </c>
      <c r="K2" s="13" t="s">
        <v>163</v>
      </c>
      <c r="L2" s="13" t="s">
        <v>12</v>
      </c>
      <c r="M2" s="13" t="s">
        <v>38</v>
      </c>
      <c r="N2" s="13" t="s">
        <v>26</v>
      </c>
      <c r="O2" s="63" t="s">
        <v>181</v>
      </c>
      <c r="P2" s="63" t="s">
        <v>182</v>
      </c>
      <c r="Q2" s="63" t="s">
        <v>183</v>
      </c>
      <c r="R2" s="63" t="s">
        <v>184</v>
      </c>
      <c r="S2" s="63" t="s">
        <v>185</v>
      </c>
      <c r="T2" s="63" t="s">
        <v>186</v>
      </c>
      <c r="U2" s="63" t="s">
        <v>187</v>
      </c>
      <c r="V2" s="63" t="s">
        <v>188</v>
      </c>
      <c r="W2" s="63" t="s">
        <v>189</v>
      </c>
      <c r="X2" s="63" t="s">
        <v>190</v>
      </c>
      <c r="Y2" s="63" t="s">
        <v>191</v>
      </c>
      <c r="Z2" s="63" t="s">
        <v>192</v>
      </c>
      <c r="AA2" t="s">
        <v>215</v>
      </c>
      <c r="AB2" s="52" t="s">
        <v>259</v>
      </c>
      <c r="AC2" s="52" t="s">
        <v>260</v>
      </c>
      <c r="AD2" s="52" t="s">
        <v>261</v>
      </c>
      <c r="AE2" s="52" t="s">
        <v>262</v>
      </c>
      <c r="AF2" s="52" t="s">
        <v>263</v>
      </c>
      <c r="AG2" s="52" t="s">
        <v>264</v>
      </c>
      <c r="AH2" s="52" t="s">
        <v>265</v>
      </c>
      <c r="AI2" s="52" t="s">
        <v>266</v>
      </c>
      <c r="AJ2" s="52" t="s">
        <v>267</v>
      </c>
      <c r="AK2" s="63" t="s">
        <v>270</v>
      </c>
      <c r="AL2" s="63" t="s">
        <v>271</v>
      </c>
      <c r="AM2" s="63" t="s">
        <v>272</v>
      </c>
      <c r="AN2" s="63" t="s">
        <v>273</v>
      </c>
      <c r="AO2" s="63" t="s">
        <v>274</v>
      </c>
      <c r="AP2" s="63" t="s">
        <v>275</v>
      </c>
      <c r="AQ2" s="63" t="s">
        <v>208</v>
      </c>
      <c r="AR2" s="63" t="s">
        <v>276</v>
      </c>
      <c r="AS2" s="63" t="s">
        <v>277</v>
      </c>
      <c r="AT2" s="63" t="s">
        <v>278</v>
      </c>
      <c r="AU2" s="63" t="s">
        <v>279</v>
      </c>
      <c r="AV2" s="63" t="s">
        <v>280</v>
      </c>
      <c r="AW2" s="63" t="s">
        <v>281</v>
      </c>
      <c r="AX2" s="63" t="s">
        <v>282</v>
      </c>
      <c r="AY2" s="63" t="s">
        <v>283</v>
      </c>
      <c r="AZ2" s="63" t="s">
        <v>284</v>
      </c>
      <c r="BA2" s="63" t="s">
        <v>285</v>
      </c>
      <c r="BB2" s="63" t="s">
        <v>286</v>
      </c>
      <c r="BC2" s="63" t="s">
        <v>287</v>
      </c>
      <c r="BD2" s="63" t="s">
        <v>288</v>
      </c>
      <c r="BE2" s="63" t="s">
        <v>289</v>
      </c>
      <c r="BF2" s="63" t="s">
        <v>290</v>
      </c>
      <c r="BG2" s="63" t="s">
        <v>291</v>
      </c>
      <c r="BH2" s="63" t="s">
        <v>292</v>
      </c>
      <c r="BI2" s="63" t="s">
        <v>293</v>
      </c>
      <c r="BJ2" s="63" t="s">
        <v>294</v>
      </c>
      <c r="BK2" s="13" t="s">
        <v>296</v>
      </c>
      <c r="BL2" s="13" t="s">
        <v>297</v>
      </c>
      <c r="BM2" s="63" t="s">
        <v>304</v>
      </c>
      <c r="BN2" s="63" t="s">
        <v>305</v>
      </c>
      <c r="BO2" s="52" t="s">
        <v>671</v>
      </c>
      <c r="BP2" s="52" t="s">
        <v>672</v>
      </c>
      <c r="BQ2" s="52" t="s">
        <v>673</v>
      </c>
      <c r="BR2" s="52" t="s">
        <v>674</v>
      </c>
      <c r="BS2" s="52" t="s">
        <v>675</v>
      </c>
      <c r="BT2" s="52" t="s">
        <v>676</v>
      </c>
      <c r="BU2" s="13" t="s">
        <v>716</v>
      </c>
      <c r="BV2" s="13" t="s">
        <v>717</v>
      </c>
      <c r="BW2" s="13" t="s">
        <v>718</v>
      </c>
      <c r="BX2" s="13" t="s">
        <v>719</v>
      </c>
      <c r="BY2" s="13" t="s">
        <v>720</v>
      </c>
      <c r="BZ2" s="13" t="s">
        <v>721</v>
      </c>
      <c r="CA2" s="13" t="s">
        <v>722</v>
      </c>
      <c r="CB2" s="13" t="s">
        <v>723</v>
      </c>
      <c r="CC2" s="13" t="s">
        <v>724</v>
      </c>
      <c r="CD2" s="13" t="s">
        <v>725</v>
      </c>
      <c r="CE2" s="13" t="s">
        <v>726</v>
      </c>
      <c r="CF2" s="13" t="s">
        <v>727</v>
      </c>
      <c r="CG2" s="13" t="s">
        <v>728</v>
      </c>
      <c r="CH2" s="13" t="s">
        <v>729</v>
      </c>
      <c r="CI2" s="13" t="s">
        <v>730</v>
      </c>
      <c r="CJ2" s="13" t="s">
        <v>731</v>
      </c>
      <c r="CK2" s="13" t="s">
        <v>732</v>
      </c>
      <c r="CL2" s="13" t="s">
        <v>733</v>
      </c>
      <c r="CM2" s="13" t="s">
        <v>734</v>
      </c>
      <c r="CN2" s="13" t="s">
        <v>735</v>
      </c>
      <c r="CO2" s="13" t="s">
        <v>736</v>
      </c>
      <c r="CP2" s="13" t="s">
        <v>737</v>
      </c>
      <c r="CQ2" s="13" t="s">
        <v>738</v>
      </c>
      <c r="CR2" s="13" t="s">
        <v>739</v>
      </c>
      <c r="CS2" s="13" t="s">
        <v>740</v>
      </c>
      <c r="CT2" s="13" t="s">
        <v>741</v>
      </c>
      <c r="CU2" s="13" t="s">
        <v>754</v>
      </c>
      <c r="CV2" s="13" t="s">
        <v>755</v>
      </c>
      <c r="CW2" s="13" t="s">
        <v>756</v>
      </c>
      <c r="CX2" s="13" t="s">
        <v>757</v>
      </c>
      <c r="CY2" s="13" t="s">
        <v>758</v>
      </c>
      <c r="CZ2" s="13" t="s">
        <v>759</v>
      </c>
      <c r="DA2" s="13" t="s">
        <v>760</v>
      </c>
      <c r="DB2" s="13" t="s">
        <v>761</v>
      </c>
      <c r="DC2" s="13" t="s">
        <v>762</v>
      </c>
      <c r="DD2" s="13" t="s">
        <v>763</v>
      </c>
      <c r="DE2" s="13" t="s">
        <v>764</v>
      </c>
      <c r="DF2" s="13" t="s">
        <v>765</v>
      </c>
      <c r="DG2" s="13" t="s">
        <v>766</v>
      </c>
      <c r="DH2" s="13" t="s">
        <v>767</v>
      </c>
      <c r="DI2" s="13" t="s">
        <v>768</v>
      </c>
      <c r="DJ2" s="13" t="s">
        <v>769</v>
      </c>
      <c r="DK2" s="13" t="s">
        <v>770</v>
      </c>
      <c r="DL2" s="13" t="s">
        <v>771</v>
      </c>
      <c r="DM2" s="13" t="s">
        <v>772</v>
      </c>
      <c r="DN2" s="13" t="s">
        <v>773</v>
      </c>
      <c r="DO2" s="13" t="s">
        <v>774</v>
      </c>
      <c r="DP2" s="13" t="s">
        <v>775</v>
      </c>
      <c r="DQ2" s="13" t="s">
        <v>776</v>
      </c>
      <c r="DR2" s="13" t="s">
        <v>777</v>
      </c>
      <c r="DS2" s="13" t="s">
        <v>778</v>
      </c>
      <c r="DT2" s="13" t="s">
        <v>779</v>
      </c>
      <c r="DU2" s="13" t="s">
        <v>780</v>
      </c>
      <c r="DV2" s="13" t="s">
        <v>781</v>
      </c>
      <c r="DW2" s="13" t="s">
        <v>782</v>
      </c>
      <c r="DX2" s="13" t="s">
        <v>783</v>
      </c>
    </row>
    <row r="3" spans="1:128" ht="15" customHeight="1">
      <c r="A3" s="62" t="s">
        <v>901</v>
      </c>
      <c r="B3" s="62" t="s">
        <v>964</v>
      </c>
      <c r="C3" s="78" t="s">
        <v>714</v>
      </c>
      <c r="D3" s="84">
        <v>5</v>
      </c>
      <c r="E3" s="85" t="s">
        <v>131</v>
      </c>
      <c r="F3" s="86">
        <v>16</v>
      </c>
      <c r="G3" s="78"/>
      <c r="H3" s="70"/>
      <c r="I3" s="87"/>
      <c r="J3" s="87"/>
      <c r="K3" s="34" t="s">
        <v>65</v>
      </c>
      <c r="L3" s="88">
        <v>3</v>
      </c>
      <c r="M3" s="88"/>
      <c r="N3" s="89"/>
      <c r="O3" s="63" t="s">
        <v>968</v>
      </c>
      <c r="P3" s="65">
        <v>45176.776354166665</v>
      </c>
      <c r="Q3" s="63" t="s">
        <v>1067</v>
      </c>
      <c r="R3" s="66" t="str">
        <f>HYPERLINK("http://bessemervp.team/3Rcq10r")</f>
        <v>http://bessemervp.team/3Rcq10r</v>
      </c>
      <c r="S3" s="63" t="s">
        <v>1102</v>
      </c>
      <c r="T3" s="67"/>
      <c r="U3" s="65">
        <v>45176.776354166665</v>
      </c>
      <c r="V3" s="66" t="str">
        <f>HYPERLINK("https://twitter.com/jeremyl/status/1699854535705887029")</f>
        <v>https://twitter.com/jeremyl/status/1699854535705887029</v>
      </c>
      <c r="W3" s="63"/>
      <c r="X3" s="63"/>
      <c r="Y3" s="67" t="s">
        <v>1383</v>
      </c>
      <c r="Z3" s="67"/>
      <c r="AA3" s="63">
        <v>1</v>
      </c>
      <c r="AB3" s="48"/>
      <c r="AC3" s="49"/>
      <c r="AD3" s="48"/>
      <c r="AE3" s="49"/>
      <c r="AF3" s="48"/>
      <c r="AG3" s="49"/>
      <c r="AH3" s="48">
        <v>6</v>
      </c>
      <c r="AI3" s="49">
        <v>66.66666666666667</v>
      </c>
      <c r="AJ3" s="48">
        <v>9</v>
      </c>
      <c r="AK3" s="66"/>
      <c r="AL3" s="66" t="str">
        <f>HYPERLINK("https://pbs.twimg.com/profile_images/1692553845958742016/oGf5OupE_normal.jpg")</f>
        <v>https://pbs.twimg.com/profile_images/1692553845958742016/oGf5OupE_normal.jpg</v>
      </c>
      <c r="AM3" s="63"/>
      <c r="AN3" s="63">
        <v>19</v>
      </c>
      <c r="AO3" s="67"/>
      <c r="AP3" s="63"/>
      <c r="AQ3" s="63" t="s">
        <v>1154</v>
      </c>
      <c r="AR3" s="63" t="b">
        <v>0</v>
      </c>
      <c r="AS3" s="67" t="s">
        <v>691</v>
      </c>
      <c r="AT3" s="63"/>
      <c r="AU3" s="63">
        <v>4</v>
      </c>
      <c r="AV3" s="67" t="s">
        <v>691</v>
      </c>
      <c r="AW3" s="67" t="s">
        <v>1148</v>
      </c>
      <c r="AX3" s="63"/>
      <c r="AY3" s="67" t="s">
        <v>1383</v>
      </c>
      <c r="AZ3" s="63"/>
      <c r="BA3" s="63"/>
      <c r="BB3" s="63"/>
      <c r="BC3" s="63"/>
      <c r="BD3" s="63"/>
      <c r="BE3" s="63"/>
      <c r="BF3" s="63"/>
      <c r="BG3" s="63"/>
      <c r="BH3" s="63"/>
      <c r="BI3" s="63"/>
      <c r="BJ3" s="63"/>
      <c r="BK3" s="63" t="str">
        <f>REPLACE(INDEX(GroupVertices[Group],MATCH(Edges[[#This Row],[Vertex 1]],GroupVertices[Vertex],0)),1,1,"")</f>
        <v>13</v>
      </c>
      <c r="BL3" s="63" t="str">
        <f>REPLACE(INDEX(GroupVertices[Group],MATCH(Edges[[#This Row],[Vertex 2]],GroupVertices[Vertex],0)),1,1,"")</f>
        <v>13</v>
      </c>
      <c r="BM3" s="98">
        <v>45176</v>
      </c>
      <c r="BN3" s="99" t="s">
        <v>1260</v>
      </c>
      <c r="BO3" s="83">
        <v>0</v>
      </c>
      <c r="BP3" s="95">
        <v>0</v>
      </c>
      <c r="BQ3" s="83">
        <v>0</v>
      </c>
      <c r="BR3" s="95">
        <v>0</v>
      </c>
      <c r="BS3" s="83">
        <v>0</v>
      </c>
      <c r="BT3" s="95">
        <v>0</v>
      </c>
      <c r="BU3" s="67">
        <v>1</v>
      </c>
      <c r="BV3" s="67">
        <v>1</v>
      </c>
      <c r="BW3" s="67">
        <v>3404</v>
      </c>
      <c r="BX3" s="67" t="s">
        <v>964</v>
      </c>
      <c r="BY3" s="67"/>
      <c r="BZ3" s="67"/>
      <c r="CA3" s="67"/>
      <c r="CB3" s="67"/>
      <c r="CC3" s="67"/>
      <c r="CD3" s="67"/>
      <c r="CE3" s="67"/>
      <c r="CF3" s="67"/>
      <c r="CG3" s="67"/>
      <c r="CH3" s="67"/>
      <c r="CI3" s="67"/>
      <c r="CJ3" s="67"/>
      <c r="CK3" s="67" t="s">
        <v>1383</v>
      </c>
      <c r="CL3" s="67"/>
      <c r="CM3" s="67" t="s">
        <v>691</v>
      </c>
      <c r="CN3" s="67">
        <v>3674531</v>
      </c>
      <c r="CO3" s="67"/>
      <c r="CP3" s="67"/>
      <c r="CQ3" s="67"/>
      <c r="CR3" s="67"/>
      <c r="CS3" s="67"/>
      <c r="CT3" s="67"/>
      <c r="CU3" s="100"/>
      <c r="CV3" s="67"/>
      <c r="CW3" s="67"/>
      <c r="CX3" s="67"/>
      <c r="CY3" s="67"/>
      <c r="CZ3" s="67"/>
      <c r="DA3" s="128"/>
      <c r="DB3" s="100"/>
      <c r="DC3" s="67"/>
      <c r="DD3" s="67"/>
      <c r="DE3" s="67"/>
      <c r="DF3" s="67"/>
      <c r="DG3" s="67"/>
      <c r="DH3" s="67"/>
      <c r="DI3" s="67"/>
      <c r="DJ3" s="67"/>
      <c r="DK3" s="67"/>
      <c r="DL3" s="67"/>
      <c r="DM3" s="67"/>
      <c r="DN3" s="67"/>
      <c r="DO3" s="67"/>
      <c r="DP3" s="67"/>
      <c r="DQ3" s="67"/>
      <c r="DR3" s="67"/>
      <c r="DS3" s="67"/>
      <c r="DT3" s="67"/>
      <c r="DU3" s="67"/>
      <c r="DV3" s="67"/>
      <c r="DW3" s="67"/>
      <c r="DX3" s="67"/>
    </row>
    <row r="4" spans="1:128" ht="15" customHeight="1">
      <c r="A4" s="62" t="s">
        <v>901</v>
      </c>
      <c r="B4" s="62" t="s">
        <v>901</v>
      </c>
      <c r="C4" s="78" t="s">
        <v>714</v>
      </c>
      <c r="D4" s="84">
        <v>5</v>
      </c>
      <c r="E4" s="85" t="s">
        <v>131</v>
      </c>
      <c r="F4" s="86">
        <v>16</v>
      </c>
      <c r="G4" s="78"/>
      <c r="H4" s="70"/>
      <c r="I4" s="87"/>
      <c r="J4" s="87"/>
      <c r="K4" s="34" t="s">
        <v>65</v>
      </c>
      <c r="L4" s="103">
        <v>4</v>
      </c>
      <c r="M4" s="103"/>
      <c r="N4" s="89"/>
      <c r="O4" s="64" t="s">
        <v>183</v>
      </c>
      <c r="P4" s="110">
        <v>45181.84300925926</v>
      </c>
      <c r="Q4" s="64" t="s">
        <v>971</v>
      </c>
      <c r="R4" s="111" t="str">
        <f>HYPERLINK("https://www.nytimes.com/2023/09/12/opinion/crime-inflation-polls-economy.html")</f>
        <v>https://www.nytimes.com/2023/09/12/opinion/crime-inflation-polls-economy.html</v>
      </c>
      <c r="S4" s="64" t="s">
        <v>1085</v>
      </c>
      <c r="T4" s="64"/>
      <c r="U4" s="110">
        <v>45181.84300925926</v>
      </c>
      <c r="V4" s="111" t="str">
        <f>HYPERLINK("https://twitter.com/jeremyl/status/1701690629678411888")</f>
        <v>https://twitter.com/jeremyl/status/1701690629678411888</v>
      </c>
      <c r="W4" s="64"/>
      <c r="X4" s="64"/>
      <c r="Y4" s="136" t="s">
        <v>1283</v>
      </c>
      <c r="Z4" s="64"/>
      <c r="AA4" s="104">
        <v>1</v>
      </c>
      <c r="AB4" s="105"/>
      <c r="AC4" s="106"/>
      <c r="AD4" s="105"/>
      <c r="AE4" s="106"/>
      <c r="AF4" s="105"/>
      <c r="AG4" s="106"/>
      <c r="AH4" s="48">
        <v>22</v>
      </c>
      <c r="AI4" s="49">
        <v>55</v>
      </c>
      <c r="AJ4" s="48">
        <v>40</v>
      </c>
      <c r="AK4" s="107"/>
      <c r="AL4" s="111" t="str">
        <f>HYPERLINK("https://pbs.twimg.com/profile_images/1692553845958742016/oGf5OupE_normal.jpg")</f>
        <v>https://pbs.twimg.com/profile_images/1692553845958742016/oGf5OupE_normal.jpg</v>
      </c>
      <c r="AM4" s="64"/>
      <c r="AN4" s="64">
        <v>5</v>
      </c>
      <c r="AO4" s="64"/>
      <c r="AP4" s="64"/>
      <c r="AQ4" s="64" t="s">
        <v>1154</v>
      </c>
      <c r="AR4" s="64" t="b">
        <v>0</v>
      </c>
      <c r="AS4" s="136" t="s">
        <v>691</v>
      </c>
      <c r="AT4" s="64"/>
      <c r="AU4" s="64">
        <v>7</v>
      </c>
      <c r="AV4" s="136" t="s">
        <v>691</v>
      </c>
      <c r="AW4" s="136" t="s">
        <v>1148</v>
      </c>
      <c r="AX4" s="64"/>
      <c r="AY4" s="136" t="s">
        <v>1283</v>
      </c>
      <c r="AZ4" s="64"/>
      <c r="BA4" s="64"/>
      <c r="BB4" s="64"/>
      <c r="BC4" s="64"/>
      <c r="BD4" s="64"/>
      <c r="BE4" s="64"/>
      <c r="BF4" s="64"/>
      <c r="BG4" s="64"/>
      <c r="BH4" s="64"/>
      <c r="BI4" s="64"/>
      <c r="BJ4" s="64"/>
      <c r="BK4" s="63" t="str">
        <f>REPLACE(INDEX(GroupVertices[Group],MATCH(Edges[[#This Row],[Vertex 1]],GroupVertices[Vertex],0)),1,1,"")</f>
        <v>13</v>
      </c>
      <c r="BL4" s="63" t="str">
        <f>REPLACE(INDEX(GroupVertices[Group],MATCH(Edges[[#This Row],[Vertex 2]],GroupVertices[Vertex],0)),1,1,"")</f>
        <v>13</v>
      </c>
      <c r="BM4" s="137">
        <v>45181</v>
      </c>
      <c r="BN4" s="138" t="s">
        <v>1160</v>
      </c>
      <c r="BO4" s="48">
        <v>0</v>
      </c>
      <c r="BP4" s="49">
        <v>0</v>
      </c>
      <c r="BQ4" s="48">
        <v>0</v>
      </c>
      <c r="BR4" s="49">
        <v>0</v>
      </c>
      <c r="BS4" s="48">
        <v>0</v>
      </c>
      <c r="BT4" s="49">
        <v>0</v>
      </c>
      <c r="BU4" s="107">
        <v>0</v>
      </c>
      <c r="BV4" s="64">
        <v>0</v>
      </c>
      <c r="BW4" s="64">
        <v>5202</v>
      </c>
      <c r="BX4" s="64"/>
      <c r="BY4" s="64"/>
      <c r="BZ4" s="64"/>
      <c r="CA4" s="64"/>
      <c r="CB4" s="64"/>
      <c r="CC4" s="64"/>
      <c r="CD4" s="64"/>
      <c r="CE4" s="64"/>
      <c r="CF4" s="64"/>
      <c r="CG4" s="64"/>
      <c r="CH4" s="64"/>
      <c r="CI4" s="64"/>
      <c r="CJ4" s="64"/>
      <c r="CK4" s="136" t="s">
        <v>1283</v>
      </c>
      <c r="CL4" s="64"/>
      <c r="CM4" s="136" t="s">
        <v>691</v>
      </c>
      <c r="CN4" s="64">
        <v>3674531</v>
      </c>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row>
    <row r="5" spans="1:128" ht="15">
      <c r="A5" s="62" t="s">
        <v>902</v>
      </c>
      <c r="B5" s="62" t="s">
        <v>938</v>
      </c>
      <c r="C5" s="78" t="s">
        <v>714</v>
      </c>
      <c r="D5" s="84">
        <v>5</v>
      </c>
      <c r="E5" s="85" t="s">
        <v>131</v>
      </c>
      <c r="F5" s="86">
        <v>16</v>
      </c>
      <c r="G5" s="78"/>
      <c r="H5" s="70"/>
      <c r="I5" s="87"/>
      <c r="J5" s="87"/>
      <c r="K5" s="34" t="s">
        <v>65</v>
      </c>
      <c r="L5" s="103">
        <v>5</v>
      </c>
      <c r="M5" s="103"/>
      <c r="N5" s="89"/>
      <c r="O5" s="64" t="s">
        <v>965</v>
      </c>
      <c r="P5" s="110">
        <v>45182.232453703706</v>
      </c>
      <c r="Q5" s="64" t="s">
        <v>972</v>
      </c>
      <c r="R5" s="64"/>
      <c r="S5" s="64"/>
      <c r="T5" s="64"/>
      <c r="U5" s="110">
        <v>45182.232453703706</v>
      </c>
      <c r="V5" s="111" t="str">
        <f>HYPERLINK("https://twitter.com/jeremyl_20/status/1701831758478446966")</f>
        <v>https://twitter.com/jeremyl_20/status/1701831758478446966</v>
      </c>
      <c r="W5" s="64"/>
      <c r="X5" s="64"/>
      <c r="Y5" s="136" t="s">
        <v>1284</v>
      </c>
      <c r="Z5" s="64"/>
      <c r="AA5" s="104">
        <v>1</v>
      </c>
      <c r="AB5" s="105"/>
      <c r="AC5" s="106"/>
      <c r="AD5" s="105"/>
      <c r="AE5" s="106"/>
      <c r="AF5" s="105"/>
      <c r="AG5" s="106"/>
      <c r="AH5" s="48">
        <v>5</v>
      </c>
      <c r="AI5" s="49">
        <v>83.33333333333333</v>
      </c>
      <c r="AJ5" s="48">
        <v>6</v>
      </c>
      <c r="AK5" s="107" t="s">
        <v>1120</v>
      </c>
      <c r="AL5" s="111" t="str">
        <f>HYPERLINK("https://pbs.twimg.com/media/F5wMoS_WgAAwk_H.jpg")</f>
        <v>https://pbs.twimg.com/media/F5wMoS_WgAAwk_H.jpg</v>
      </c>
      <c r="AM5" s="64"/>
      <c r="AN5" s="64">
        <v>0</v>
      </c>
      <c r="AO5" s="64"/>
      <c r="AP5" s="64"/>
      <c r="AQ5" s="64" t="s">
        <v>1154</v>
      </c>
      <c r="AR5" s="64" t="b">
        <v>0</v>
      </c>
      <c r="AS5" s="136" t="s">
        <v>691</v>
      </c>
      <c r="AT5" s="64"/>
      <c r="AU5" s="64">
        <v>44874</v>
      </c>
      <c r="AV5" s="136" t="s">
        <v>1381</v>
      </c>
      <c r="AW5" s="136" t="s">
        <v>1149</v>
      </c>
      <c r="AX5" s="64"/>
      <c r="AY5" s="136" t="s">
        <v>1381</v>
      </c>
      <c r="AZ5" s="64"/>
      <c r="BA5" s="64"/>
      <c r="BB5" s="64"/>
      <c r="BC5" s="64"/>
      <c r="BD5" s="64"/>
      <c r="BE5" s="64"/>
      <c r="BF5" s="64"/>
      <c r="BG5" s="64"/>
      <c r="BH5" s="64"/>
      <c r="BI5" s="64"/>
      <c r="BJ5" s="64"/>
      <c r="BK5" s="63" t="str">
        <f>REPLACE(INDEX(GroupVertices[Group],MATCH(Edges[[#This Row],[Vertex 1]],GroupVertices[Vertex],0)),1,1,"")</f>
        <v>12</v>
      </c>
      <c r="BL5" s="63" t="str">
        <f>REPLACE(INDEX(GroupVertices[Group],MATCH(Edges[[#This Row],[Vertex 2]],GroupVertices[Vertex],0)),1,1,"")</f>
        <v>12</v>
      </c>
      <c r="BM5" s="137">
        <v>45182</v>
      </c>
      <c r="BN5" s="138" t="s">
        <v>1161</v>
      </c>
      <c r="BO5" s="48">
        <v>0</v>
      </c>
      <c r="BP5" s="49">
        <v>0</v>
      </c>
      <c r="BQ5" s="48">
        <v>0</v>
      </c>
      <c r="BR5" s="49">
        <v>0</v>
      </c>
      <c r="BS5" s="48">
        <v>0</v>
      </c>
      <c r="BT5" s="49">
        <v>0</v>
      </c>
      <c r="BU5" s="107">
        <v>0</v>
      </c>
      <c r="BV5" s="64">
        <v>0</v>
      </c>
      <c r="BW5" s="64"/>
      <c r="BX5" s="64" t="s">
        <v>938</v>
      </c>
      <c r="BY5" s="64"/>
      <c r="BZ5" s="64" t="s">
        <v>1142</v>
      </c>
      <c r="CA5" s="64"/>
      <c r="CB5" s="64"/>
      <c r="CC5" s="64"/>
      <c r="CD5" s="64" t="s">
        <v>1261</v>
      </c>
      <c r="CE5" s="64"/>
      <c r="CF5" s="64"/>
      <c r="CG5" s="64"/>
      <c r="CH5" s="64"/>
      <c r="CI5" s="64"/>
      <c r="CJ5" s="64"/>
      <c r="CK5" s="136" t="s">
        <v>1284</v>
      </c>
      <c r="CL5" s="64"/>
      <c r="CM5" s="136" t="s">
        <v>691</v>
      </c>
      <c r="CN5" s="136" t="s">
        <v>1423</v>
      </c>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row>
    <row r="6" spans="1:128" ht="15">
      <c r="A6" s="62" t="s">
        <v>903</v>
      </c>
      <c r="B6" s="62" t="s">
        <v>940</v>
      </c>
      <c r="C6" s="78" t="s">
        <v>714</v>
      </c>
      <c r="D6" s="84">
        <v>5</v>
      </c>
      <c r="E6" s="85" t="s">
        <v>131</v>
      </c>
      <c r="F6" s="86">
        <v>16</v>
      </c>
      <c r="G6" s="78"/>
      <c r="H6" s="70"/>
      <c r="I6" s="87"/>
      <c r="J6" s="87"/>
      <c r="K6" s="34" t="s">
        <v>65</v>
      </c>
      <c r="L6" s="103">
        <v>6</v>
      </c>
      <c r="M6" s="103"/>
      <c r="N6" s="89"/>
      <c r="O6" s="64" t="s">
        <v>966</v>
      </c>
      <c r="P6" s="110">
        <v>45178.07373842593</v>
      </c>
      <c r="Q6" s="64" t="s">
        <v>973</v>
      </c>
      <c r="R6" s="64"/>
      <c r="S6" s="64"/>
      <c r="T6" s="64"/>
      <c r="U6" s="110">
        <v>45178.07373842593</v>
      </c>
      <c r="V6" s="111" t="str">
        <f>HYPERLINK("https://twitter.com/ccooke6685/status/1700324690235896007")</f>
        <v>https://twitter.com/ccooke6685/status/1700324690235896007</v>
      </c>
      <c r="W6" s="64"/>
      <c r="X6" s="64"/>
      <c r="Y6" s="136" t="s">
        <v>1285</v>
      </c>
      <c r="Z6" s="64"/>
      <c r="AA6" s="104">
        <v>1</v>
      </c>
      <c r="AB6" s="105"/>
      <c r="AC6" s="106"/>
      <c r="AD6" s="105"/>
      <c r="AE6" s="106"/>
      <c r="AF6" s="105"/>
      <c r="AG6" s="106"/>
      <c r="AH6" s="48"/>
      <c r="AI6" s="49"/>
      <c r="AJ6" s="48"/>
      <c r="AK6" s="107"/>
      <c r="AL6" s="111" t="str">
        <f>HYPERLINK("https://pbs.twimg.com/profile_images/1662869898811277321/kHxssA1A_normal.jpg")</f>
        <v>https://pbs.twimg.com/profile_images/1662869898811277321/kHxssA1A_normal.jpg</v>
      </c>
      <c r="AM6" s="64"/>
      <c r="AN6" s="64">
        <v>4</v>
      </c>
      <c r="AO6" s="64"/>
      <c r="AP6" s="64"/>
      <c r="AQ6" s="64" t="s">
        <v>1154</v>
      </c>
      <c r="AR6" s="64"/>
      <c r="AS6" s="136" t="s">
        <v>691</v>
      </c>
      <c r="AT6" s="64"/>
      <c r="AU6" s="64">
        <v>0</v>
      </c>
      <c r="AV6" s="136" t="s">
        <v>691</v>
      </c>
      <c r="AW6" s="136" t="s">
        <v>1148</v>
      </c>
      <c r="AX6" s="64"/>
      <c r="AY6" s="136" t="s">
        <v>1420</v>
      </c>
      <c r="AZ6" s="64"/>
      <c r="BA6" s="64"/>
      <c r="BB6" s="64"/>
      <c r="BC6" s="64"/>
      <c r="BD6" s="64"/>
      <c r="BE6" s="64"/>
      <c r="BF6" s="64"/>
      <c r="BG6" s="64"/>
      <c r="BH6" s="64"/>
      <c r="BI6" s="64"/>
      <c r="BJ6" s="64"/>
      <c r="BK6" s="63" t="str">
        <f>REPLACE(INDEX(GroupVertices[Group],MATCH(Edges[[#This Row],[Vertex 1]],GroupVertices[Vertex],0)),1,1,"")</f>
        <v>6</v>
      </c>
      <c r="BL6" s="63" t="str">
        <f>REPLACE(INDEX(GroupVertices[Group],MATCH(Edges[[#This Row],[Vertex 2]],GroupVertices[Vertex],0)),1,1,"")</f>
        <v>6</v>
      </c>
      <c r="BM6" s="137">
        <v>45178</v>
      </c>
      <c r="BN6" s="138" t="s">
        <v>1162</v>
      </c>
      <c r="BO6" s="48"/>
      <c r="BP6" s="49"/>
      <c r="BQ6" s="48"/>
      <c r="BR6" s="49"/>
      <c r="BS6" s="48"/>
      <c r="BT6" s="49"/>
      <c r="BU6" s="107">
        <v>0</v>
      </c>
      <c r="BV6" s="64">
        <v>0</v>
      </c>
      <c r="BW6" s="64">
        <v>34</v>
      </c>
      <c r="BX6" s="64" t="s">
        <v>1103</v>
      </c>
      <c r="BY6" s="64"/>
      <c r="BZ6" s="64"/>
      <c r="CA6" s="64"/>
      <c r="CB6" s="64"/>
      <c r="CC6" s="64"/>
      <c r="CD6" s="64"/>
      <c r="CE6" s="64"/>
      <c r="CF6" s="64"/>
      <c r="CG6" s="64"/>
      <c r="CH6" s="64"/>
      <c r="CI6" s="64"/>
      <c r="CJ6" s="64"/>
      <c r="CK6" s="136" t="s">
        <v>1384</v>
      </c>
      <c r="CL6" s="136" t="s">
        <v>1399</v>
      </c>
      <c r="CM6" s="136" t="s">
        <v>1420</v>
      </c>
      <c r="CN6" s="64">
        <v>17035423</v>
      </c>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row>
    <row r="7" spans="1:128" ht="15">
      <c r="A7" s="62" t="s">
        <v>903</v>
      </c>
      <c r="B7" s="62" t="s">
        <v>940</v>
      </c>
      <c r="C7" s="78" t="s">
        <v>714</v>
      </c>
      <c r="D7" s="84">
        <v>5</v>
      </c>
      <c r="E7" s="85" t="s">
        <v>131</v>
      </c>
      <c r="F7" s="86">
        <v>16</v>
      </c>
      <c r="G7" s="78"/>
      <c r="H7" s="70"/>
      <c r="I7" s="87"/>
      <c r="J7" s="87"/>
      <c r="K7" s="34" t="s">
        <v>65</v>
      </c>
      <c r="L7" s="103">
        <v>7</v>
      </c>
      <c r="M7" s="103"/>
      <c r="N7" s="89"/>
      <c r="O7" s="64" t="s">
        <v>967</v>
      </c>
      <c r="P7" s="110">
        <v>45178.04076388889</v>
      </c>
      <c r="Q7" s="64" t="s">
        <v>974</v>
      </c>
      <c r="R7" s="64"/>
      <c r="S7" s="64"/>
      <c r="T7" s="64"/>
      <c r="U7" s="110">
        <v>45178.04076388889</v>
      </c>
      <c r="V7" s="111" t="str">
        <f>HYPERLINK("https://twitter.com/ccooke6685/status/1700312740479349179")</f>
        <v>https://twitter.com/ccooke6685/status/1700312740479349179</v>
      </c>
      <c r="W7" s="64"/>
      <c r="X7" s="64"/>
      <c r="Y7" s="136" t="s">
        <v>1286</v>
      </c>
      <c r="Z7" s="64"/>
      <c r="AA7" s="104">
        <v>1</v>
      </c>
      <c r="AB7" s="105"/>
      <c r="AC7" s="106"/>
      <c r="AD7" s="105"/>
      <c r="AE7" s="106"/>
      <c r="AF7" s="105"/>
      <c r="AG7" s="106"/>
      <c r="AH7" s="48"/>
      <c r="AI7" s="49"/>
      <c r="AJ7" s="48"/>
      <c r="AK7" s="107"/>
      <c r="AL7" s="111" t="str">
        <f>HYPERLINK("https://pbs.twimg.com/profile_images/1662869898811277321/kHxssA1A_normal.jpg")</f>
        <v>https://pbs.twimg.com/profile_images/1662869898811277321/kHxssA1A_normal.jpg</v>
      </c>
      <c r="AM7" s="64"/>
      <c r="AN7" s="64">
        <v>3</v>
      </c>
      <c r="AO7" s="64"/>
      <c r="AP7" s="64"/>
      <c r="AQ7" s="64" t="s">
        <v>1154</v>
      </c>
      <c r="AR7" s="64"/>
      <c r="AS7" s="136" t="s">
        <v>691</v>
      </c>
      <c r="AT7" s="64"/>
      <c r="AU7" s="64">
        <v>0</v>
      </c>
      <c r="AV7" s="136" t="s">
        <v>691</v>
      </c>
      <c r="AW7" s="136" t="s">
        <v>1148</v>
      </c>
      <c r="AX7" s="64"/>
      <c r="AY7" s="136" t="s">
        <v>1421</v>
      </c>
      <c r="AZ7" s="64"/>
      <c r="BA7" s="64"/>
      <c r="BB7" s="64"/>
      <c r="BC7" s="64"/>
      <c r="BD7" s="64"/>
      <c r="BE7" s="64"/>
      <c r="BF7" s="64"/>
      <c r="BG7" s="64"/>
      <c r="BH7" s="64"/>
      <c r="BI7" s="64"/>
      <c r="BJ7" s="64"/>
      <c r="BK7" s="63" t="str">
        <f>REPLACE(INDEX(GroupVertices[Group],MATCH(Edges[[#This Row],[Vertex 1]],GroupVertices[Vertex],0)),1,1,"")</f>
        <v>6</v>
      </c>
      <c r="BL7" s="63" t="str">
        <f>REPLACE(INDEX(GroupVertices[Group],MATCH(Edges[[#This Row],[Vertex 2]],GroupVertices[Vertex],0)),1,1,"")</f>
        <v>6</v>
      </c>
      <c r="BM7" s="137">
        <v>45178</v>
      </c>
      <c r="BN7" s="138" t="s">
        <v>1163</v>
      </c>
      <c r="BO7" s="48"/>
      <c r="BP7" s="49"/>
      <c r="BQ7" s="48"/>
      <c r="BR7" s="49"/>
      <c r="BS7" s="48"/>
      <c r="BT7" s="49"/>
      <c r="BU7" s="107">
        <v>0</v>
      </c>
      <c r="BV7" s="64">
        <v>0</v>
      </c>
      <c r="BW7" s="64">
        <v>36</v>
      </c>
      <c r="BX7" s="64" t="s">
        <v>1104</v>
      </c>
      <c r="BY7" s="64"/>
      <c r="BZ7" s="64"/>
      <c r="CA7" s="64"/>
      <c r="CB7" s="64"/>
      <c r="CC7" s="64"/>
      <c r="CD7" s="64"/>
      <c r="CE7" s="64"/>
      <c r="CF7" s="64"/>
      <c r="CG7" s="64"/>
      <c r="CH7" s="64"/>
      <c r="CI7" s="64"/>
      <c r="CJ7" s="64"/>
      <c r="CK7" s="136" t="s">
        <v>1384</v>
      </c>
      <c r="CL7" s="136" t="s">
        <v>1400</v>
      </c>
      <c r="CM7" s="136" t="s">
        <v>1421</v>
      </c>
      <c r="CN7" s="64">
        <v>17035423</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row>
    <row r="8" spans="1:128" ht="15">
      <c r="A8" s="62" t="s">
        <v>903</v>
      </c>
      <c r="B8" s="62" t="s">
        <v>941</v>
      </c>
      <c r="C8" s="78" t="s">
        <v>900</v>
      </c>
      <c r="D8" s="84">
        <v>7.5</v>
      </c>
      <c r="E8" s="85" t="s">
        <v>135</v>
      </c>
      <c r="F8" s="86">
        <v>15.23076923076923</v>
      </c>
      <c r="G8" s="78"/>
      <c r="H8" s="70"/>
      <c r="I8" s="87"/>
      <c r="J8" s="87"/>
      <c r="K8" s="34" t="s">
        <v>65</v>
      </c>
      <c r="L8" s="103">
        <v>8</v>
      </c>
      <c r="M8" s="103"/>
      <c r="N8" s="89"/>
      <c r="O8" s="64" t="s">
        <v>967</v>
      </c>
      <c r="P8" s="110">
        <v>45178.07373842593</v>
      </c>
      <c r="Q8" s="64" t="s">
        <v>973</v>
      </c>
      <c r="R8" s="64"/>
      <c r="S8" s="64"/>
      <c r="T8" s="64"/>
      <c r="U8" s="110">
        <v>45178.07373842593</v>
      </c>
      <c r="V8" s="111" t="str">
        <f>HYPERLINK("https://twitter.com/ccooke6685/status/1700324690235896007")</f>
        <v>https://twitter.com/ccooke6685/status/1700324690235896007</v>
      </c>
      <c r="W8" s="64"/>
      <c r="X8" s="64"/>
      <c r="Y8" s="136" t="s">
        <v>1285</v>
      </c>
      <c r="Z8" s="64"/>
      <c r="AA8" s="104">
        <v>2</v>
      </c>
      <c r="AB8" s="105"/>
      <c r="AC8" s="106"/>
      <c r="AD8" s="105"/>
      <c r="AE8" s="106"/>
      <c r="AF8" s="105"/>
      <c r="AG8" s="106"/>
      <c r="AH8" s="48"/>
      <c r="AI8" s="49"/>
      <c r="AJ8" s="48"/>
      <c r="AK8" s="107"/>
      <c r="AL8" s="111" t="str">
        <f>HYPERLINK("https://pbs.twimg.com/profile_images/1662869898811277321/kHxssA1A_normal.jpg")</f>
        <v>https://pbs.twimg.com/profile_images/1662869898811277321/kHxssA1A_normal.jpg</v>
      </c>
      <c r="AM8" s="64"/>
      <c r="AN8" s="64">
        <v>4</v>
      </c>
      <c r="AO8" s="64"/>
      <c r="AP8" s="64"/>
      <c r="AQ8" s="64" t="s">
        <v>1154</v>
      </c>
      <c r="AR8" s="64"/>
      <c r="AS8" s="136" t="s">
        <v>691</v>
      </c>
      <c r="AT8" s="64"/>
      <c r="AU8" s="64">
        <v>0</v>
      </c>
      <c r="AV8" s="136" t="s">
        <v>691</v>
      </c>
      <c r="AW8" s="136" t="s">
        <v>1148</v>
      </c>
      <c r="AX8" s="64"/>
      <c r="AY8" s="136" t="s">
        <v>1420</v>
      </c>
      <c r="AZ8" s="64"/>
      <c r="BA8" s="64"/>
      <c r="BB8" s="64"/>
      <c r="BC8" s="64"/>
      <c r="BD8" s="64"/>
      <c r="BE8" s="64"/>
      <c r="BF8" s="64"/>
      <c r="BG8" s="64"/>
      <c r="BH8" s="64"/>
      <c r="BI8" s="64"/>
      <c r="BJ8" s="64"/>
      <c r="BK8" s="63" t="str">
        <f>REPLACE(INDEX(GroupVertices[Group],MATCH(Edges[[#This Row],[Vertex 1]],GroupVertices[Vertex],0)),1,1,"")</f>
        <v>6</v>
      </c>
      <c r="BL8" s="63" t="str">
        <f>REPLACE(INDEX(GroupVertices[Group],MATCH(Edges[[#This Row],[Vertex 2]],GroupVertices[Vertex],0)),1,1,"")</f>
        <v>6</v>
      </c>
      <c r="BM8" s="137">
        <v>45178</v>
      </c>
      <c r="BN8" s="138" t="s">
        <v>1162</v>
      </c>
      <c r="BO8" s="48"/>
      <c r="BP8" s="49"/>
      <c r="BQ8" s="48"/>
      <c r="BR8" s="49"/>
      <c r="BS8" s="48"/>
      <c r="BT8" s="49"/>
      <c r="BU8" s="107">
        <v>0</v>
      </c>
      <c r="BV8" s="64">
        <v>0</v>
      </c>
      <c r="BW8" s="64">
        <v>34</v>
      </c>
      <c r="BX8" s="64" t="s">
        <v>1103</v>
      </c>
      <c r="BY8" s="64"/>
      <c r="BZ8" s="64"/>
      <c r="CA8" s="64"/>
      <c r="CB8" s="64"/>
      <c r="CC8" s="64"/>
      <c r="CD8" s="64"/>
      <c r="CE8" s="64"/>
      <c r="CF8" s="64"/>
      <c r="CG8" s="64"/>
      <c r="CH8" s="64"/>
      <c r="CI8" s="64"/>
      <c r="CJ8" s="64"/>
      <c r="CK8" s="136" t="s">
        <v>1384</v>
      </c>
      <c r="CL8" s="136" t="s">
        <v>1399</v>
      </c>
      <c r="CM8" s="136" t="s">
        <v>1420</v>
      </c>
      <c r="CN8" s="64">
        <v>17035423</v>
      </c>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row>
    <row r="9" spans="1:128" ht="15">
      <c r="A9" s="62" t="s">
        <v>903</v>
      </c>
      <c r="B9" s="62" t="s">
        <v>941</v>
      </c>
      <c r="C9" s="78" t="s">
        <v>900</v>
      </c>
      <c r="D9" s="84">
        <v>7.5</v>
      </c>
      <c r="E9" s="85" t="s">
        <v>135</v>
      </c>
      <c r="F9" s="86">
        <v>15.23076923076923</v>
      </c>
      <c r="G9" s="78"/>
      <c r="H9" s="70"/>
      <c r="I9" s="87"/>
      <c r="J9" s="87"/>
      <c r="K9" s="34" t="s">
        <v>65</v>
      </c>
      <c r="L9" s="103">
        <v>9</v>
      </c>
      <c r="M9" s="103"/>
      <c r="N9" s="89"/>
      <c r="O9" s="64" t="s">
        <v>967</v>
      </c>
      <c r="P9" s="110">
        <v>45178.04076388889</v>
      </c>
      <c r="Q9" s="64" t="s">
        <v>974</v>
      </c>
      <c r="R9" s="64"/>
      <c r="S9" s="64"/>
      <c r="T9" s="64"/>
      <c r="U9" s="110">
        <v>45178.04076388889</v>
      </c>
      <c r="V9" s="111" t="str">
        <f>HYPERLINK("https://twitter.com/ccooke6685/status/1700312740479349179")</f>
        <v>https://twitter.com/ccooke6685/status/1700312740479349179</v>
      </c>
      <c r="W9" s="64"/>
      <c r="X9" s="64"/>
      <c r="Y9" s="136" t="s">
        <v>1286</v>
      </c>
      <c r="Z9" s="64"/>
      <c r="AA9" s="104">
        <v>2</v>
      </c>
      <c r="AB9" s="105"/>
      <c r="AC9" s="106"/>
      <c r="AD9" s="105"/>
      <c r="AE9" s="106"/>
      <c r="AF9" s="105"/>
      <c r="AG9" s="106"/>
      <c r="AH9" s="48"/>
      <c r="AI9" s="49"/>
      <c r="AJ9" s="48"/>
      <c r="AK9" s="107"/>
      <c r="AL9" s="111" t="str">
        <f>HYPERLINK("https://pbs.twimg.com/profile_images/1662869898811277321/kHxssA1A_normal.jpg")</f>
        <v>https://pbs.twimg.com/profile_images/1662869898811277321/kHxssA1A_normal.jpg</v>
      </c>
      <c r="AM9" s="64"/>
      <c r="AN9" s="64">
        <v>3</v>
      </c>
      <c r="AO9" s="64"/>
      <c r="AP9" s="64"/>
      <c r="AQ9" s="64" t="s">
        <v>1154</v>
      </c>
      <c r="AR9" s="64"/>
      <c r="AS9" s="136" t="s">
        <v>691</v>
      </c>
      <c r="AT9" s="64"/>
      <c r="AU9" s="64">
        <v>0</v>
      </c>
      <c r="AV9" s="136" t="s">
        <v>691</v>
      </c>
      <c r="AW9" s="136" t="s">
        <v>1148</v>
      </c>
      <c r="AX9" s="64"/>
      <c r="AY9" s="136" t="s">
        <v>1421</v>
      </c>
      <c r="AZ9" s="64"/>
      <c r="BA9" s="64"/>
      <c r="BB9" s="64"/>
      <c r="BC9" s="64"/>
      <c r="BD9" s="64"/>
      <c r="BE9" s="64"/>
      <c r="BF9" s="64"/>
      <c r="BG9" s="64"/>
      <c r="BH9" s="64"/>
      <c r="BI9" s="64"/>
      <c r="BJ9" s="64"/>
      <c r="BK9" s="63" t="str">
        <f>REPLACE(INDEX(GroupVertices[Group],MATCH(Edges[[#This Row],[Vertex 1]],GroupVertices[Vertex],0)),1,1,"")</f>
        <v>6</v>
      </c>
      <c r="BL9" s="63" t="str">
        <f>REPLACE(INDEX(GroupVertices[Group],MATCH(Edges[[#This Row],[Vertex 2]],GroupVertices[Vertex],0)),1,1,"")</f>
        <v>6</v>
      </c>
      <c r="BM9" s="137">
        <v>45178</v>
      </c>
      <c r="BN9" s="138" t="s">
        <v>1163</v>
      </c>
      <c r="BO9" s="48"/>
      <c r="BP9" s="49"/>
      <c r="BQ9" s="48"/>
      <c r="BR9" s="49"/>
      <c r="BS9" s="48"/>
      <c r="BT9" s="49"/>
      <c r="BU9" s="107">
        <v>0</v>
      </c>
      <c r="BV9" s="64">
        <v>0</v>
      </c>
      <c r="BW9" s="64">
        <v>36</v>
      </c>
      <c r="BX9" s="64" t="s">
        <v>1104</v>
      </c>
      <c r="BY9" s="64"/>
      <c r="BZ9" s="64"/>
      <c r="CA9" s="64"/>
      <c r="CB9" s="64"/>
      <c r="CC9" s="64"/>
      <c r="CD9" s="64"/>
      <c r="CE9" s="64"/>
      <c r="CF9" s="64"/>
      <c r="CG9" s="64"/>
      <c r="CH9" s="64"/>
      <c r="CI9" s="64"/>
      <c r="CJ9" s="64"/>
      <c r="CK9" s="136" t="s">
        <v>1384</v>
      </c>
      <c r="CL9" s="136" t="s">
        <v>1400</v>
      </c>
      <c r="CM9" s="136" t="s">
        <v>1421</v>
      </c>
      <c r="CN9" s="64">
        <v>17035423</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row>
    <row r="10" spans="1:128" ht="15">
      <c r="A10" s="62" t="s">
        <v>903</v>
      </c>
      <c r="B10" s="62" t="s">
        <v>942</v>
      </c>
      <c r="C10" s="78" t="s">
        <v>900</v>
      </c>
      <c r="D10" s="84">
        <v>7.5</v>
      </c>
      <c r="E10" s="85" t="s">
        <v>135</v>
      </c>
      <c r="F10" s="86">
        <v>15.23076923076923</v>
      </c>
      <c r="G10" s="78"/>
      <c r="H10" s="70"/>
      <c r="I10" s="87"/>
      <c r="J10" s="87"/>
      <c r="K10" s="34" t="s">
        <v>65</v>
      </c>
      <c r="L10" s="103">
        <v>10</v>
      </c>
      <c r="M10" s="103"/>
      <c r="N10" s="89"/>
      <c r="O10" s="64" t="s">
        <v>967</v>
      </c>
      <c r="P10" s="110">
        <v>45178.07373842593</v>
      </c>
      <c r="Q10" s="64" t="s">
        <v>973</v>
      </c>
      <c r="R10" s="64"/>
      <c r="S10" s="64"/>
      <c r="T10" s="64"/>
      <c r="U10" s="110">
        <v>45178.07373842593</v>
      </c>
      <c r="V10" s="111" t="str">
        <f>HYPERLINK("https://twitter.com/ccooke6685/status/1700324690235896007")</f>
        <v>https://twitter.com/ccooke6685/status/1700324690235896007</v>
      </c>
      <c r="W10" s="64"/>
      <c r="X10" s="64"/>
      <c r="Y10" s="136" t="s">
        <v>1285</v>
      </c>
      <c r="Z10" s="64"/>
      <c r="AA10" s="104">
        <v>2</v>
      </c>
      <c r="AB10" s="105"/>
      <c r="AC10" s="106"/>
      <c r="AD10" s="105"/>
      <c r="AE10" s="106"/>
      <c r="AF10" s="105"/>
      <c r="AG10" s="106"/>
      <c r="AH10" s="48"/>
      <c r="AI10" s="49"/>
      <c r="AJ10" s="48"/>
      <c r="AK10" s="107"/>
      <c r="AL10" s="111" t="str">
        <f>HYPERLINK("https://pbs.twimg.com/profile_images/1662869898811277321/kHxssA1A_normal.jpg")</f>
        <v>https://pbs.twimg.com/profile_images/1662869898811277321/kHxssA1A_normal.jpg</v>
      </c>
      <c r="AM10" s="64"/>
      <c r="AN10" s="64">
        <v>4</v>
      </c>
      <c r="AO10" s="64"/>
      <c r="AP10" s="64"/>
      <c r="AQ10" s="64" t="s">
        <v>1154</v>
      </c>
      <c r="AR10" s="64"/>
      <c r="AS10" s="136" t="s">
        <v>691</v>
      </c>
      <c r="AT10" s="64"/>
      <c r="AU10" s="64">
        <v>0</v>
      </c>
      <c r="AV10" s="136" t="s">
        <v>691</v>
      </c>
      <c r="AW10" s="136" t="s">
        <v>1148</v>
      </c>
      <c r="AX10" s="64"/>
      <c r="AY10" s="136" t="s">
        <v>1420</v>
      </c>
      <c r="AZ10" s="64"/>
      <c r="BA10" s="64"/>
      <c r="BB10" s="64"/>
      <c r="BC10" s="64"/>
      <c r="BD10" s="64"/>
      <c r="BE10" s="64"/>
      <c r="BF10" s="64"/>
      <c r="BG10" s="64"/>
      <c r="BH10" s="64"/>
      <c r="BI10" s="64"/>
      <c r="BJ10" s="64"/>
      <c r="BK10" s="63" t="str">
        <f>REPLACE(INDEX(GroupVertices[Group],MATCH(Edges[[#This Row],[Vertex 1]],GroupVertices[Vertex],0)),1,1,"")</f>
        <v>6</v>
      </c>
      <c r="BL10" s="63" t="str">
        <f>REPLACE(INDEX(GroupVertices[Group],MATCH(Edges[[#This Row],[Vertex 2]],GroupVertices[Vertex],0)),1,1,"")</f>
        <v>6</v>
      </c>
      <c r="BM10" s="137">
        <v>45178</v>
      </c>
      <c r="BN10" s="138" t="s">
        <v>1162</v>
      </c>
      <c r="BO10" s="48"/>
      <c r="BP10" s="49"/>
      <c r="BQ10" s="48"/>
      <c r="BR10" s="49"/>
      <c r="BS10" s="48"/>
      <c r="BT10" s="49"/>
      <c r="BU10" s="107">
        <v>0</v>
      </c>
      <c r="BV10" s="64">
        <v>0</v>
      </c>
      <c r="BW10" s="64">
        <v>34</v>
      </c>
      <c r="BX10" s="64" t="s">
        <v>1103</v>
      </c>
      <c r="BY10" s="64"/>
      <c r="BZ10" s="64"/>
      <c r="CA10" s="64"/>
      <c r="CB10" s="64"/>
      <c r="CC10" s="64"/>
      <c r="CD10" s="64"/>
      <c r="CE10" s="64"/>
      <c r="CF10" s="64"/>
      <c r="CG10" s="64"/>
      <c r="CH10" s="64"/>
      <c r="CI10" s="64"/>
      <c r="CJ10" s="64"/>
      <c r="CK10" s="136" t="s">
        <v>1384</v>
      </c>
      <c r="CL10" s="136" t="s">
        <v>1399</v>
      </c>
      <c r="CM10" s="136" t="s">
        <v>1420</v>
      </c>
      <c r="CN10" s="64">
        <v>17035423</v>
      </c>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row>
    <row r="11" spans="1:128" ht="15">
      <c r="A11" s="62" t="s">
        <v>903</v>
      </c>
      <c r="B11" s="62" t="s">
        <v>942</v>
      </c>
      <c r="C11" s="78" t="s">
        <v>900</v>
      </c>
      <c r="D11" s="84">
        <v>7.5</v>
      </c>
      <c r="E11" s="85" t="s">
        <v>135</v>
      </c>
      <c r="F11" s="86">
        <v>15.23076923076923</v>
      </c>
      <c r="G11" s="78"/>
      <c r="H11" s="70"/>
      <c r="I11" s="87"/>
      <c r="J11" s="87"/>
      <c r="K11" s="34" t="s">
        <v>65</v>
      </c>
      <c r="L11" s="103">
        <v>11</v>
      </c>
      <c r="M11" s="103"/>
      <c r="N11" s="89"/>
      <c r="O11" s="64" t="s">
        <v>967</v>
      </c>
      <c r="P11" s="110">
        <v>45178.04076388889</v>
      </c>
      <c r="Q11" s="64" t="s">
        <v>974</v>
      </c>
      <c r="R11" s="64"/>
      <c r="S11" s="64"/>
      <c r="T11" s="64"/>
      <c r="U11" s="110">
        <v>45178.04076388889</v>
      </c>
      <c r="V11" s="111" t="str">
        <f>HYPERLINK("https://twitter.com/ccooke6685/status/1700312740479349179")</f>
        <v>https://twitter.com/ccooke6685/status/1700312740479349179</v>
      </c>
      <c r="W11" s="64"/>
      <c r="X11" s="64"/>
      <c r="Y11" s="136" t="s">
        <v>1286</v>
      </c>
      <c r="Z11" s="64"/>
      <c r="AA11" s="104">
        <v>2</v>
      </c>
      <c r="AB11" s="105"/>
      <c r="AC11" s="106"/>
      <c r="AD11" s="105"/>
      <c r="AE11" s="106"/>
      <c r="AF11" s="105"/>
      <c r="AG11" s="106"/>
      <c r="AH11" s="48"/>
      <c r="AI11" s="49"/>
      <c r="AJ11" s="48"/>
      <c r="AK11" s="107"/>
      <c r="AL11" s="111" t="str">
        <f>HYPERLINK("https://pbs.twimg.com/profile_images/1662869898811277321/kHxssA1A_normal.jpg")</f>
        <v>https://pbs.twimg.com/profile_images/1662869898811277321/kHxssA1A_normal.jpg</v>
      </c>
      <c r="AM11" s="64"/>
      <c r="AN11" s="64">
        <v>3</v>
      </c>
      <c r="AO11" s="64"/>
      <c r="AP11" s="64"/>
      <c r="AQ11" s="64" t="s">
        <v>1154</v>
      </c>
      <c r="AR11" s="64"/>
      <c r="AS11" s="136" t="s">
        <v>691</v>
      </c>
      <c r="AT11" s="64"/>
      <c r="AU11" s="64">
        <v>0</v>
      </c>
      <c r="AV11" s="136" t="s">
        <v>691</v>
      </c>
      <c r="AW11" s="136" t="s">
        <v>1148</v>
      </c>
      <c r="AX11" s="64"/>
      <c r="AY11" s="136" t="s">
        <v>1421</v>
      </c>
      <c r="AZ11" s="64"/>
      <c r="BA11" s="64"/>
      <c r="BB11" s="64"/>
      <c r="BC11" s="64"/>
      <c r="BD11" s="64"/>
      <c r="BE11" s="64"/>
      <c r="BF11" s="64"/>
      <c r="BG11" s="64"/>
      <c r="BH11" s="64"/>
      <c r="BI11" s="64"/>
      <c r="BJ11" s="64"/>
      <c r="BK11" s="63" t="str">
        <f>REPLACE(INDEX(GroupVertices[Group],MATCH(Edges[[#This Row],[Vertex 1]],GroupVertices[Vertex],0)),1,1,"")</f>
        <v>6</v>
      </c>
      <c r="BL11" s="63" t="str">
        <f>REPLACE(INDEX(GroupVertices[Group],MATCH(Edges[[#This Row],[Vertex 2]],GroupVertices[Vertex],0)),1,1,"")</f>
        <v>6</v>
      </c>
      <c r="BM11" s="137">
        <v>45178</v>
      </c>
      <c r="BN11" s="138" t="s">
        <v>1163</v>
      </c>
      <c r="BO11" s="48"/>
      <c r="BP11" s="49"/>
      <c r="BQ11" s="48"/>
      <c r="BR11" s="49"/>
      <c r="BS11" s="48"/>
      <c r="BT11" s="49"/>
      <c r="BU11" s="107">
        <v>0</v>
      </c>
      <c r="BV11" s="64">
        <v>0</v>
      </c>
      <c r="BW11" s="64">
        <v>36</v>
      </c>
      <c r="BX11" s="64" t="s">
        <v>1104</v>
      </c>
      <c r="BY11" s="64"/>
      <c r="BZ11" s="64"/>
      <c r="CA11" s="64"/>
      <c r="CB11" s="64"/>
      <c r="CC11" s="64"/>
      <c r="CD11" s="64"/>
      <c r="CE11" s="64"/>
      <c r="CF11" s="64"/>
      <c r="CG11" s="64"/>
      <c r="CH11" s="64"/>
      <c r="CI11" s="64"/>
      <c r="CJ11" s="64"/>
      <c r="CK11" s="136" t="s">
        <v>1384</v>
      </c>
      <c r="CL11" s="136" t="s">
        <v>1400</v>
      </c>
      <c r="CM11" s="136" t="s">
        <v>1421</v>
      </c>
      <c r="CN11" s="64">
        <v>17035423</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row>
    <row r="12" spans="1:128" ht="15">
      <c r="A12" s="62" t="s">
        <v>903</v>
      </c>
      <c r="B12" s="62" t="s">
        <v>943</v>
      </c>
      <c r="C12" s="78" t="s">
        <v>714</v>
      </c>
      <c r="D12" s="84">
        <v>5</v>
      </c>
      <c r="E12" s="85" t="s">
        <v>131</v>
      </c>
      <c r="F12" s="86">
        <v>16</v>
      </c>
      <c r="G12" s="78"/>
      <c r="H12" s="70"/>
      <c r="I12" s="87"/>
      <c r="J12" s="87"/>
      <c r="K12" s="34" t="s">
        <v>65</v>
      </c>
      <c r="L12" s="103">
        <v>12</v>
      </c>
      <c r="M12" s="103"/>
      <c r="N12" s="89"/>
      <c r="O12" s="64" t="s">
        <v>967</v>
      </c>
      <c r="P12" s="110">
        <v>45178.07373842593</v>
      </c>
      <c r="Q12" s="64" t="s">
        <v>973</v>
      </c>
      <c r="R12" s="64"/>
      <c r="S12" s="64"/>
      <c r="T12" s="64"/>
      <c r="U12" s="110">
        <v>45178.07373842593</v>
      </c>
      <c r="V12" s="111" t="str">
        <f>HYPERLINK("https://twitter.com/ccooke6685/status/1700324690235896007")</f>
        <v>https://twitter.com/ccooke6685/status/1700324690235896007</v>
      </c>
      <c r="W12" s="64"/>
      <c r="X12" s="64"/>
      <c r="Y12" s="136" t="s">
        <v>1285</v>
      </c>
      <c r="Z12" s="64"/>
      <c r="AA12" s="104">
        <v>1</v>
      </c>
      <c r="AB12" s="105"/>
      <c r="AC12" s="106"/>
      <c r="AD12" s="105"/>
      <c r="AE12" s="106"/>
      <c r="AF12" s="105"/>
      <c r="AG12" s="106"/>
      <c r="AH12" s="48"/>
      <c r="AI12" s="49"/>
      <c r="AJ12" s="48"/>
      <c r="AK12" s="107"/>
      <c r="AL12" s="111" t="str">
        <f>HYPERLINK("https://pbs.twimg.com/profile_images/1662869898811277321/kHxssA1A_normal.jpg")</f>
        <v>https://pbs.twimg.com/profile_images/1662869898811277321/kHxssA1A_normal.jpg</v>
      </c>
      <c r="AM12" s="64"/>
      <c r="AN12" s="64">
        <v>4</v>
      </c>
      <c r="AO12" s="64"/>
      <c r="AP12" s="64"/>
      <c r="AQ12" s="64" t="s">
        <v>1154</v>
      </c>
      <c r="AR12" s="64"/>
      <c r="AS12" s="136" t="s">
        <v>691</v>
      </c>
      <c r="AT12" s="64"/>
      <c r="AU12" s="64">
        <v>0</v>
      </c>
      <c r="AV12" s="136" t="s">
        <v>691</v>
      </c>
      <c r="AW12" s="136" t="s">
        <v>1148</v>
      </c>
      <c r="AX12" s="64"/>
      <c r="AY12" s="136" t="s">
        <v>1420</v>
      </c>
      <c r="AZ12" s="64"/>
      <c r="BA12" s="64"/>
      <c r="BB12" s="64"/>
      <c r="BC12" s="64"/>
      <c r="BD12" s="64"/>
      <c r="BE12" s="64"/>
      <c r="BF12" s="64"/>
      <c r="BG12" s="64"/>
      <c r="BH12" s="64"/>
      <c r="BI12" s="64"/>
      <c r="BJ12" s="64"/>
      <c r="BK12" s="63" t="str">
        <f>REPLACE(INDEX(GroupVertices[Group],MATCH(Edges[[#This Row],[Vertex 1]],GroupVertices[Vertex],0)),1,1,"")</f>
        <v>6</v>
      </c>
      <c r="BL12" s="63" t="str">
        <f>REPLACE(INDEX(GroupVertices[Group],MATCH(Edges[[#This Row],[Vertex 2]],GroupVertices[Vertex],0)),1,1,"")</f>
        <v>6</v>
      </c>
      <c r="BM12" s="137">
        <v>45178</v>
      </c>
      <c r="BN12" s="138" t="s">
        <v>1162</v>
      </c>
      <c r="BO12" s="48"/>
      <c r="BP12" s="49"/>
      <c r="BQ12" s="48"/>
      <c r="BR12" s="49"/>
      <c r="BS12" s="48"/>
      <c r="BT12" s="49"/>
      <c r="BU12" s="107">
        <v>0</v>
      </c>
      <c r="BV12" s="64">
        <v>0</v>
      </c>
      <c r="BW12" s="64">
        <v>34</v>
      </c>
      <c r="BX12" s="64" t="s">
        <v>1103</v>
      </c>
      <c r="BY12" s="64"/>
      <c r="BZ12" s="64"/>
      <c r="CA12" s="64"/>
      <c r="CB12" s="64"/>
      <c r="CC12" s="64"/>
      <c r="CD12" s="64"/>
      <c r="CE12" s="64"/>
      <c r="CF12" s="64"/>
      <c r="CG12" s="64"/>
      <c r="CH12" s="64"/>
      <c r="CI12" s="64"/>
      <c r="CJ12" s="64"/>
      <c r="CK12" s="136" t="s">
        <v>1384</v>
      </c>
      <c r="CL12" s="136" t="s">
        <v>1399</v>
      </c>
      <c r="CM12" s="136" t="s">
        <v>1420</v>
      </c>
      <c r="CN12" s="64">
        <v>17035423</v>
      </c>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row>
    <row r="13" spans="1:128" ht="15">
      <c r="A13" s="62" t="s">
        <v>903</v>
      </c>
      <c r="B13" s="62" t="s">
        <v>943</v>
      </c>
      <c r="C13" s="78" t="s">
        <v>714</v>
      </c>
      <c r="D13" s="84">
        <v>5</v>
      </c>
      <c r="E13" s="85" t="s">
        <v>131</v>
      </c>
      <c r="F13" s="86">
        <v>16</v>
      </c>
      <c r="G13" s="78"/>
      <c r="H13" s="70"/>
      <c r="I13" s="87"/>
      <c r="J13" s="87"/>
      <c r="K13" s="34" t="s">
        <v>65</v>
      </c>
      <c r="L13" s="103">
        <v>13</v>
      </c>
      <c r="M13" s="103"/>
      <c r="N13" s="89"/>
      <c r="O13" s="64" t="s">
        <v>966</v>
      </c>
      <c r="P13" s="110">
        <v>45178.04076388889</v>
      </c>
      <c r="Q13" s="64" t="s">
        <v>974</v>
      </c>
      <c r="R13" s="64"/>
      <c r="S13" s="64"/>
      <c r="T13" s="64"/>
      <c r="U13" s="110">
        <v>45178.04076388889</v>
      </c>
      <c r="V13" s="111" t="str">
        <f>HYPERLINK("https://twitter.com/ccooke6685/status/1700312740479349179")</f>
        <v>https://twitter.com/ccooke6685/status/1700312740479349179</v>
      </c>
      <c r="W13" s="64"/>
      <c r="X13" s="64"/>
      <c r="Y13" s="136" t="s">
        <v>1286</v>
      </c>
      <c r="Z13" s="64"/>
      <c r="AA13" s="104">
        <v>1</v>
      </c>
      <c r="AB13" s="105"/>
      <c r="AC13" s="106"/>
      <c r="AD13" s="105"/>
      <c r="AE13" s="106"/>
      <c r="AF13" s="105"/>
      <c r="AG13" s="106"/>
      <c r="AH13" s="48"/>
      <c r="AI13" s="49"/>
      <c r="AJ13" s="48"/>
      <c r="AK13" s="107"/>
      <c r="AL13" s="111" t="str">
        <f>HYPERLINK("https://pbs.twimg.com/profile_images/1662869898811277321/kHxssA1A_normal.jpg")</f>
        <v>https://pbs.twimg.com/profile_images/1662869898811277321/kHxssA1A_normal.jpg</v>
      </c>
      <c r="AM13" s="64"/>
      <c r="AN13" s="64">
        <v>3</v>
      </c>
      <c r="AO13" s="64"/>
      <c r="AP13" s="64"/>
      <c r="AQ13" s="64" t="s">
        <v>1154</v>
      </c>
      <c r="AR13" s="64"/>
      <c r="AS13" s="136" t="s">
        <v>691</v>
      </c>
      <c r="AT13" s="64"/>
      <c r="AU13" s="64">
        <v>0</v>
      </c>
      <c r="AV13" s="136" t="s">
        <v>691</v>
      </c>
      <c r="AW13" s="136" t="s">
        <v>1148</v>
      </c>
      <c r="AX13" s="64"/>
      <c r="AY13" s="136" t="s">
        <v>1421</v>
      </c>
      <c r="AZ13" s="64"/>
      <c r="BA13" s="64"/>
      <c r="BB13" s="64"/>
      <c r="BC13" s="64"/>
      <c r="BD13" s="64"/>
      <c r="BE13" s="64"/>
      <c r="BF13" s="64"/>
      <c r="BG13" s="64"/>
      <c r="BH13" s="64"/>
      <c r="BI13" s="64"/>
      <c r="BJ13" s="64"/>
      <c r="BK13" s="63" t="str">
        <f>REPLACE(INDEX(GroupVertices[Group],MATCH(Edges[[#This Row],[Vertex 1]],GroupVertices[Vertex],0)),1,1,"")</f>
        <v>6</v>
      </c>
      <c r="BL13" s="63" t="str">
        <f>REPLACE(INDEX(GroupVertices[Group],MATCH(Edges[[#This Row],[Vertex 2]],GroupVertices[Vertex],0)),1,1,"")</f>
        <v>6</v>
      </c>
      <c r="BM13" s="137">
        <v>45178</v>
      </c>
      <c r="BN13" s="138" t="s">
        <v>1163</v>
      </c>
      <c r="BO13" s="48"/>
      <c r="BP13" s="49"/>
      <c r="BQ13" s="48"/>
      <c r="BR13" s="49"/>
      <c r="BS13" s="48"/>
      <c r="BT13" s="49"/>
      <c r="BU13" s="107">
        <v>0</v>
      </c>
      <c r="BV13" s="64">
        <v>0</v>
      </c>
      <c r="BW13" s="64">
        <v>36</v>
      </c>
      <c r="BX13" s="64" t="s">
        <v>1104</v>
      </c>
      <c r="BY13" s="64"/>
      <c r="BZ13" s="64"/>
      <c r="CA13" s="64"/>
      <c r="CB13" s="64"/>
      <c r="CC13" s="64"/>
      <c r="CD13" s="64"/>
      <c r="CE13" s="64"/>
      <c r="CF13" s="64"/>
      <c r="CG13" s="64"/>
      <c r="CH13" s="64"/>
      <c r="CI13" s="64"/>
      <c r="CJ13" s="64"/>
      <c r="CK13" s="136" t="s">
        <v>1384</v>
      </c>
      <c r="CL13" s="136" t="s">
        <v>1400</v>
      </c>
      <c r="CM13" s="136" t="s">
        <v>1421</v>
      </c>
      <c r="CN13" s="64">
        <v>17035423</v>
      </c>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row>
    <row r="14" spans="1:128" ht="15">
      <c r="A14" s="62" t="s">
        <v>903</v>
      </c>
      <c r="B14" s="62" t="s">
        <v>333</v>
      </c>
      <c r="C14" s="78" t="s">
        <v>900</v>
      </c>
      <c r="D14" s="84">
        <v>7.5</v>
      </c>
      <c r="E14" s="85" t="s">
        <v>135</v>
      </c>
      <c r="F14" s="86">
        <v>15.23076923076923</v>
      </c>
      <c r="G14" s="78"/>
      <c r="H14" s="70"/>
      <c r="I14" s="87"/>
      <c r="J14" s="87"/>
      <c r="K14" s="34" t="s">
        <v>65</v>
      </c>
      <c r="L14" s="103">
        <v>14</v>
      </c>
      <c r="M14" s="103"/>
      <c r="N14" s="89"/>
      <c r="O14" s="64" t="s">
        <v>967</v>
      </c>
      <c r="P14" s="110">
        <v>45178.07373842593</v>
      </c>
      <c r="Q14" s="64" t="s">
        <v>973</v>
      </c>
      <c r="R14" s="64"/>
      <c r="S14" s="64"/>
      <c r="T14" s="64"/>
      <c r="U14" s="110">
        <v>45178.07373842593</v>
      </c>
      <c r="V14" s="111" t="str">
        <f>HYPERLINK("https://twitter.com/ccooke6685/status/1700324690235896007")</f>
        <v>https://twitter.com/ccooke6685/status/1700324690235896007</v>
      </c>
      <c r="W14" s="64"/>
      <c r="X14" s="64"/>
      <c r="Y14" s="136" t="s">
        <v>1285</v>
      </c>
      <c r="Z14" s="64"/>
      <c r="AA14" s="104">
        <v>2</v>
      </c>
      <c r="AB14" s="105"/>
      <c r="AC14" s="106"/>
      <c r="AD14" s="105"/>
      <c r="AE14" s="106"/>
      <c r="AF14" s="105"/>
      <c r="AG14" s="106"/>
      <c r="AH14" s="48">
        <v>7</v>
      </c>
      <c r="AI14" s="49">
        <v>87.5</v>
      </c>
      <c r="AJ14" s="48">
        <v>8</v>
      </c>
      <c r="AK14" s="107"/>
      <c r="AL14" s="111" t="str">
        <f>HYPERLINK("https://pbs.twimg.com/profile_images/1662869898811277321/kHxssA1A_normal.jpg")</f>
        <v>https://pbs.twimg.com/profile_images/1662869898811277321/kHxssA1A_normal.jpg</v>
      </c>
      <c r="AM14" s="64"/>
      <c r="AN14" s="64">
        <v>4</v>
      </c>
      <c r="AO14" s="64"/>
      <c r="AP14" s="64"/>
      <c r="AQ14" s="64" t="s">
        <v>1154</v>
      </c>
      <c r="AR14" s="64"/>
      <c r="AS14" s="136" t="s">
        <v>691</v>
      </c>
      <c r="AT14" s="64"/>
      <c r="AU14" s="64">
        <v>0</v>
      </c>
      <c r="AV14" s="136" t="s">
        <v>691</v>
      </c>
      <c r="AW14" s="136" t="s">
        <v>1148</v>
      </c>
      <c r="AX14" s="64"/>
      <c r="AY14" s="136" t="s">
        <v>1420</v>
      </c>
      <c r="AZ14" s="64"/>
      <c r="BA14" s="64"/>
      <c r="BB14" s="64"/>
      <c r="BC14" s="64"/>
      <c r="BD14" s="64"/>
      <c r="BE14" s="64"/>
      <c r="BF14" s="64"/>
      <c r="BG14" s="64"/>
      <c r="BH14" s="64"/>
      <c r="BI14" s="64"/>
      <c r="BJ14" s="64"/>
      <c r="BK14" s="63" t="str">
        <f>REPLACE(INDEX(GroupVertices[Group],MATCH(Edges[[#This Row],[Vertex 1]],GroupVertices[Vertex],0)),1,1,"")</f>
        <v>6</v>
      </c>
      <c r="BL14" s="63" t="str">
        <f>REPLACE(INDEX(GroupVertices[Group],MATCH(Edges[[#This Row],[Vertex 2]],GroupVertices[Vertex],0)),1,1,"")</f>
        <v>2</v>
      </c>
      <c r="BM14" s="137">
        <v>45178</v>
      </c>
      <c r="BN14" s="138" t="s">
        <v>1162</v>
      </c>
      <c r="BO14" s="48">
        <v>0</v>
      </c>
      <c r="BP14" s="49">
        <v>0</v>
      </c>
      <c r="BQ14" s="48">
        <v>0</v>
      </c>
      <c r="BR14" s="49">
        <v>0</v>
      </c>
      <c r="BS14" s="48">
        <v>0</v>
      </c>
      <c r="BT14" s="49">
        <v>0</v>
      </c>
      <c r="BU14" s="107">
        <v>0</v>
      </c>
      <c r="BV14" s="64">
        <v>0</v>
      </c>
      <c r="BW14" s="64">
        <v>34</v>
      </c>
      <c r="BX14" s="64" t="s">
        <v>1103</v>
      </c>
      <c r="BY14" s="64"/>
      <c r="BZ14" s="64"/>
      <c r="CA14" s="64"/>
      <c r="CB14" s="64"/>
      <c r="CC14" s="64"/>
      <c r="CD14" s="64"/>
      <c r="CE14" s="64"/>
      <c r="CF14" s="64"/>
      <c r="CG14" s="64"/>
      <c r="CH14" s="64"/>
      <c r="CI14" s="64"/>
      <c r="CJ14" s="64"/>
      <c r="CK14" s="136" t="s">
        <v>1384</v>
      </c>
      <c r="CL14" s="136" t="s">
        <v>1399</v>
      </c>
      <c r="CM14" s="136" t="s">
        <v>1420</v>
      </c>
      <c r="CN14" s="64">
        <v>17035423</v>
      </c>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row>
    <row r="15" spans="1:128" ht="15">
      <c r="A15" s="62" t="s">
        <v>903</v>
      </c>
      <c r="B15" s="62" t="s">
        <v>333</v>
      </c>
      <c r="C15" s="78" t="s">
        <v>900</v>
      </c>
      <c r="D15" s="84">
        <v>7.5</v>
      </c>
      <c r="E15" s="85" t="s">
        <v>135</v>
      </c>
      <c r="F15" s="86">
        <v>15.23076923076923</v>
      </c>
      <c r="G15" s="78"/>
      <c r="H15" s="70"/>
      <c r="I15" s="87"/>
      <c r="J15" s="87"/>
      <c r="K15" s="34" t="s">
        <v>65</v>
      </c>
      <c r="L15" s="103">
        <v>15</v>
      </c>
      <c r="M15" s="103"/>
      <c r="N15" s="89"/>
      <c r="O15" s="64" t="s">
        <v>967</v>
      </c>
      <c r="P15" s="110">
        <v>45178.04076388889</v>
      </c>
      <c r="Q15" s="64" t="s">
        <v>974</v>
      </c>
      <c r="R15" s="64"/>
      <c r="S15" s="64"/>
      <c r="T15" s="64"/>
      <c r="U15" s="110">
        <v>45178.04076388889</v>
      </c>
      <c r="V15" s="111" t="str">
        <f>HYPERLINK("https://twitter.com/ccooke6685/status/1700312740479349179")</f>
        <v>https://twitter.com/ccooke6685/status/1700312740479349179</v>
      </c>
      <c r="W15" s="64"/>
      <c r="X15" s="64"/>
      <c r="Y15" s="136" t="s">
        <v>1286</v>
      </c>
      <c r="Z15" s="64"/>
      <c r="AA15" s="104">
        <v>2</v>
      </c>
      <c r="AB15" s="105"/>
      <c r="AC15" s="106"/>
      <c r="AD15" s="105"/>
      <c r="AE15" s="106"/>
      <c r="AF15" s="105"/>
      <c r="AG15" s="106"/>
      <c r="AH15" s="48">
        <v>7</v>
      </c>
      <c r="AI15" s="49">
        <v>87.5</v>
      </c>
      <c r="AJ15" s="48">
        <v>8</v>
      </c>
      <c r="AK15" s="107"/>
      <c r="AL15" s="111" t="str">
        <f>HYPERLINK("https://pbs.twimg.com/profile_images/1662869898811277321/kHxssA1A_normal.jpg")</f>
        <v>https://pbs.twimg.com/profile_images/1662869898811277321/kHxssA1A_normal.jpg</v>
      </c>
      <c r="AM15" s="64"/>
      <c r="AN15" s="64">
        <v>3</v>
      </c>
      <c r="AO15" s="64"/>
      <c r="AP15" s="64"/>
      <c r="AQ15" s="64" t="s">
        <v>1154</v>
      </c>
      <c r="AR15" s="64"/>
      <c r="AS15" s="136" t="s">
        <v>691</v>
      </c>
      <c r="AT15" s="64"/>
      <c r="AU15" s="64">
        <v>0</v>
      </c>
      <c r="AV15" s="136" t="s">
        <v>691</v>
      </c>
      <c r="AW15" s="136" t="s">
        <v>1148</v>
      </c>
      <c r="AX15" s="64"/>
      <c r="AY15" s="136" t="s">
        <v>1421</v>
      </c>
      <c r="AZ15" s="64"/>
      <c r="BA15" s="64"/>
      <c r="BB15" s="64"/>
      <c r="BC15" s="64"/>
      <c r="BD15" s="64"/>
      <c r="BE15" s="64"/>
      <c r="BF15" s="64"/>
      <c r="BG15" s="64"/>
      <c r="BH15" s="64"/>
      <c r="BI15" s="64"/>
      <c r="BJ15" s="64"/>
      <c r="BK15" s="63" t="str">
        <f>REPLACE(INDEX(GroupVertices[Group],MATCH(Edges[[#This Row],[Vertex 1]],GroupVertices[Vertex],0)),1,1,"")</f>
        <v>6</v>
      </c>
      <c r="BL15" s="63" t="str">
        <f>REPLACE(INDEX(GroupVertices[Group],MATCH(Edges[[#This Row],[Vertex 2]],GroupVertices[Vertex],0)),1,1,"")</f>
        <v>2</v>
      </c>
      <c r="BM15" s="137">
        <v>45178</v>
      </c>
      <c r="BN15" s="138" t="s">
        <v>1163</v>
      </c>
      <c r="BO15" s="48">
        <v>0</v>
      </c>
      <c r="BP15" s="49">
        <v>0</v>
      </c>
      <c r="BQ15" s="48">
        <v>0</v>
      </c>
      <c r="BR15" s="49">
        <v>0</v>
      </c>
      <c r="BS15" s="48">
        <v>0</v>
      </c>
      <c r="BT15" s="49">
        <v>0</v>
      </c>
      <c r="BU15" s="107">
        <v>0</v>
      </c>
      <c r="BV15" s="64">
        <v>0</v>
      </c>
      <c r="BW15" s="64">
        <v>36</v>
      </c>
      <c r="BX15" s="64" t="s">
        <v>1104</v>
      </c>
      <c r="BY15" s="64"/>
      <c r="BZ15" s="64"/>
      <c r="CA15" s="64"/>
      <c r="CB15" s="64"/>
      <c r="CC15" s="64"/>
      <c r="CD15" s="64"/>
      <c r="CE15" s="64"/>
      <c r="CF15" s="64"/>
      <c r="CG15" s="64"/>
      <c r="CH15" s="64"/>
      <c r="CI15" s="64"/>
      <c r="CJ15" s="64"/>
      <c r="CK15" s="136" t="s">
        <v>1384</v>
      </c>
      <c r="CL15" s="136" t="s">
        <v>1400</v>
      </c>
      <c r="CM15" s="136" t="s">
        <v>1421</v>
      </c>
      <c r="CN15" s="64">
        <v>17035423</v>
      </c>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row>
    <row r="16" spans="1:128" ht="15">
      <c r="A16" s="62" t="s">
        <v>904</v>
      </c>
      <c r="B16" s="62" t="s">
        <v>944</v>
      </c>
      <c r="C16" s="78" t="s">
        <v>714</v>
      </c>
      <c r="D16" s="84">
        <v>5</v>
      </c>
      <c r="E16" s="85" t="s">
        <v>131</v>
      </c>
      <c r="F16" s="86">
        <v>16</v>
      </c>
      <c r="G16" s="78"/>
      <c r="H16" s="70"/>
      <c r="I16" s="87"/>
      <c r="J16" s="87"/>
      <c r="K16" s="34" t="s">
        <v>65</v>
      </c>
      <c r="L16" s="103">
        <v>16</v>
      </c>
      <c r="M16" s="103"/>
      <c r="N16" s="89"/>
      <c r="O16" s="64" t="s">
        <v>968</v>
      </c>
      <c r="P16" s="110">
        <v>45180.29167824074</v>
      </c>
      <c r="Q16" s="64" t="s">
        <v>975</v>
      </c>
      <c r="R16" s="64"/>
      <c r="S16" s="64"/>
      <c r="T16" s="64"/>
      <c r="U16" s="110">
        <v>45180.29167824074</v>
      </c>
      <c r="V16" s="111" t="str">
        <f>HYPERLINK("https://twitter.com/louiselyons_/status/1701128443491172724")</f>
        <v>https://twitter.com/louiselyons_/status/1701128443491172724</v>
      </c>
      <c r="W16" s="64"/>
      <c r="X16" s="64"/>
      <c r="Y16" s="136" t="s">
        <v>1287</v>
      </c>
      <c r="Z16" s="64"/>
      <c r="AA16" s="104">
        <v>1</v>
      </c>
      <c r="AB16" s="105"/>
      <c r="AC16" s="106"/>
      <c r="AD16" s="105"/>
      <c r="AE16" s="106"/>
      <c r="AF16" s="105"/>
      <c r="AG16" s="106"/>
      <c r="AH16" s="48">
        <v>12</v>
      </c>
      <c r="AI16" s="49">
        <v>66.66666666666667</v>
      </c>
      <c r="AJ16" s="48">
        <v>18</v>
      </c>
      <c r="AK16" s="107"/>
      <c r="AL16" s="111" t="str">
        <f>HYPERLINK("https://pbs.twimg.com/profile_images/1652982039820288000/rb6SOCqo_normal.jpg")</f>
        <v>https://pbs.twimg.com/profile_images/1652982039820288000/rb6SOCqo_normal.jpg</v>
      </c>
      <c r="AM16" s="64"/>
      <c r="AN16" s="64">
        <v>2</v>
      </c>
      <c r="AO16" s="64"/>
      <c r="AP16" s="64"/>
      <c r="AQ16" s="64" t="s">
        <v>1154</v>
      </c>
      <c r="AR16" s="64"/>
      <c r="AS16" s="136" t="s">
        <v>691</v>
      </c>
      <c r="AT16" s="64"/>
      <c r="AU16" s="64">
        <v>2</v>
      </c>
      <c r="AV16" s="136" t="s">
        <v>691</v>
      </c>
      <c r="AW16" s="136" t="s">
        <v>1148</v>
      </c>
      <c r="AX16" s="64"/>
      <c r="AY16" s="136" t="s">
        <v>1287</v>
      </c>
      <c r="AZ16" s="64"/>
      <c r="BA16" s="64"/>
      <c r="BB16" s="64"/>
      <c r="BC16" s="64"/>
      <c r="BD16" s="64"/>
      <c r="BE16" s="64"/>
      <c r="BF16" s="64"/>
      <c r="BG16" s="64"/>
      <c r="BH16" s="64"/>
      <c r="BI16" s="64"/>
      <c r="BJ16" s="64"/>
      <c r="BK16" s="63" t="str">
        <f>REPLACE(INDEX(GroupVertices[Group],MATCH(Edges[[#This Row],[Vertex 1]],GroupVertices[Vertex],0)),1,1,"")</f>
        <v>8</v>
      </c>
      <c r="BL16" s="63" t="str">
        <f>REPLACE(INDEX(GroupVertices[Group],MATCH(Edges[[#This Row],[Vertex 2]],GroupVertices[Vertex],0)),1,1,"")</f>
        <v>8</v>
      </c>
      <c r="BM16" s="137">
        <v>45180</v>
      </c>
      <c r="BN16" s="138" t="s">
        <v>1164</v>
      </c>
      <c r="BO16" s="48">
        <v>0</v>
      </c>
      <c r="BP16" s="49">
        <v>0</v>
      </c>
      <c r="BQ16" s="48">
        <v>0</v>
      </c>
      <c r="BR16" s="49">
        <v>0</v>
      </c>
      <c r="BS16" s="48">
        <v>0</v>
      </c>
      <c r="BT16" s="49">
        <v>0</v>
      </c>
      <c r="BU16" s="107">
        <v>0</v>
      </c>
      <c r="BV16" s="64">
        <v>0</v>
      </c>
      <c r="BW16" s="64">
        <v>147</v>
      </c>
      <c r="BX16" s="64" t="s">
        <v>944</v>
      </c>
      <c r="BY16" s="64"/>
      <c r="BZ16" s="64"/>
      <c r="CA16" s="64"/>
      <c r="CB16" s="64"/>
      <c r="CC16" s="64"/>
      <c r="CD16" s="64"/>
      <c r="CE16" s="64"/>
      <c r="CF16" s="64"/>
      <c r="CG16" s="64"/>
      <c r="CH16" s="64"/>
      <c r="CI16" s="64"/>
      <c r="CJ16" s="64"/>
      <c r="CK16" s="136" t="s">
        <v>1287</v>
      </c>
      <c r="CL16" s="64"/>
      <c r="CM16" s="136" t="s">
        <v>691</v>
      </c>
      <c r="CN16" s="64">
        <v>4106793329</v>
      </c>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row>
    <row r="17" spans="1:128" ht="15">
      <c r="A17" s="62" t="s">
        <v>905</v>
      </c>
      <c r="B17" s="62" t="s">
        <v>945</v>
      </c>
      <c r="C17" s="78" t="s">
        <v>714</v>
      </c>
      <c r="D17" s="84">
        <v>5</v>
      </c>
      <c r="E17" s="85" t="s">
        <v>131</v>
      </c>
      <c r="F17" s="86">
        <v>16</v>
      </c>
      <c r="G17" s="78"/>
      <c r="H17" s="70"/>
      <c r="I17" s="87"/>
      <c r="J17" s="87"/>
      <c r="K17" s="34" t="s">
        <v>65</v>
      </c>
      <c r="L17" s="103">
        <v>17</v>
      </c>
      <c r="M17" s="103"/>
      <c r="N17" s="89"/>
      <c r="O17" s="64" t="s">
        <v>966</v>
      </c>
      <c r="P17" s="110">
        <v>45179.72268518519</v>
      </c>
      <c r="Q17" s="64" t="s">
        <v>976</v>
      </c>
      <c r="R17" s="64"/>
      <c r="S17" s="64"/>
      <c r="T17" s="64"/>
      <c r="U17" s="110">
        <v>45179.72268518519</v>
      </c>
      <c r="V17" s="111" t="str">
        <f>HYPERLINK("https://twitter.com/jeremyl75946562/status/1700922247224193190")</f>
        <v>https://twitter.com/jeremyl75946562/status/1700922247224193190</v>
      </c>
      <c r="W17" s="64"/>
      <c r="X17" s="64"/>
      <c r="Y17" s="136" t="s">
        <v>1288</v>
      </c>
      <c r="Z17" s="64"/>
      <c r="AA17" s="104">
        <v>1</v>
      </c>
      <c r="AB17" s="105"/>
      <c r="AC17" s="106"/>
      <c r="AD17" s="105"/>
      <c r="AE17" s="106"/>
      <c r="AF17" s="105"/>
      <c r="AG17" s="106"/>
      <c r="AH17" s="48">
        <v>2</v>
      </c>
      <c r="AI17" s="49">
        <v>100</v>
      </c>
      <c r="AJ17" s="48">
        <v>2</v>
      </c>
      <c r="AK17" s="107"/>
      <c r="AL17" s="111" t="str">
        <f>HYPERLINK("https://pbs.twimg.com/profile_images/1441289435098664968/xv2yuq4U_normal.jpg")</f>
        <v>https://pbs.twimg.com/profile_images/1441289435098664968/xv2yuq4U_normal.jpg</v>
      </c>
      <c r="AM17" s="64"/>
      <c r="AN17" s="64">
        <v>0</v>
      </c>
      <c r="AO17" s="64"/>
      <c r="AP17" s="64"/>
      <c r="AQ17" s="64" t="s">
        <v>1155</v>
      </c>
      <c r="AR17" s="64"/>
      <c r="AS17" s="136" t="s">
        <v>691</v>
      </c>
      <c r="AT17" s="64"/>
      <c r="AU17" s="64">
        <v>0</v>
      </c>
      <c r="AV17" s="136" t="s">
        <v>691</v>
      </c>
      <c r="AW17" s="136" t="s">
        <v>1150</v>
      </c>
      <c r="AX17" s="64"/>
      <c r="AY17" s="136" t="s">
        <v>1385</v>
      </c>
      <c r="AZ17" s="64"/>
      <c r="BA17" s="64"/>
      <c r="BB17" s="64"/>
      <c r="BC17" s="64"/>
      <c r="BD17" s="64"/>
      <c r="BE17" s="64"/>
      <c r="BF17" s="64"/>
      <c r="BG17" s="64"/>
      <c r="BH17" s="64"/>
      <c r="BI17" s="64"/>
      <c r="BJ17" s="64"/>
      <c r="BK17" s="63" t="str">
        <f>REPLACE(INDEX(GroupVertices[Group],MATCH(Edges[[#This Row],[Vertex 1]],GroupVertices[Vertex],0)),1,1,"")</f>
        <v>11</v>
      </c>
      <c r="BL17" s="63" t="str">
        <f>REPLACE(INDEX(GroupVertices[Group],MATCH(Edges[[#This Row],[Vertex 2]],GroupVertices[Vertex],0)),1,1,"")</f>
        <v>11</v>
      </c>
      <c r="BM17" s="137">
        <v>45179</v>
      </c>
      <c r="BN17" s="138" t="s">
        <v>1165</v>
      </c>
      <c r="BO17" s="48">
        <v>0</v>
      </c>
      <c r="BP17" s="49">
        <v>0</v>
      </c>
      <c r="BQ17" s="48">
        <v>0</v>
      </c>
      <c r="BR17" s="49">
        <v>0</v>
      </c>
      <c r="BS17" s="48">
        <v>0</v>
      </c>
      <c r="BT17" s="49">
        <v>0</v>
      </c>
      <c r="BU17" s="107">
        <v>0</v>
      </c>
      <c r="BV17" s="64">
        <v>0</v>
      </c>
      <c r="BW17" s="64">
        <v>53</v>
      </c>
      <c r="BX17" s="64" t="s">
        <v>945</v>
      </c>
      <c r="BY17" s="64"/>
      <c r="BZ17" s="64"/>
      <c r="CA17" s="64"/>
      <c r="CB17" s="64"/>
      <c r="CC17" s="64"/>
      <c r="CD17" s="64"/>
      <c r="CE17" s="64"/>
      <c r="CF17" s="64"/>
      <c r="CG17" s="64"/>
      <c r="CH17" s="64"/>
      <c r="CI17" s="64"/>
      <c r="CJ17" s="64"/>
      <c r="CK17" s="136" t="s">
        <v>1385</v>
      </c>
      <c r="CL17" s="136" t="s">
        <v>1401</v>
      </c>
      <c r="CM17" s="136" t="s">
        <v>1385</v>
      </c>
      <c r="CN17" s="136" t="s">
        <v>1424</v>
      </c>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row>
    <row r="18" spans="1:128" ht="15">
      <c r="A18" s="62" t="s">
        <v>906</v>
      </c>
      <c r="B18" s="62" t="s">
        <v>946</v>
      </c>
      <c r="C18" s="78" t="s">
        <v>714</v>
      </c>
      <c r="D18" s="84">
        <v>5</v>
      </c>
      <c r="E18" s="85" t="s">
        <v>131</v>
      </c>
      <c r="F18" s="86">
        <v>16</v>
      </c>
      <c r="G18" s="78"/>
      <c r="H18" s="70"/>
      <c r="I18" s="87"/>
      <c r="J18" s="87"/>
      <c r="K18" s="34" t="s">
        <v>65</v>
      </c>
      <c r="L18" s="103">
        <v>18</v>
      </c>
      <c r="M18" s="103"/>
      <c r="N18" s="89"/>
      <c r="O18" s="64" t="s">
        <v>967</v>
      </c>
      <c r="P18" s="110">
        <v>45176.71163194445</v>
      </c>
      <c r="Q18" s="64" t="s">
        <v>977</v>
      </c>
      <c r="R18" s="64"/>
      <c r="S18" s="64"/>
      <c r="T18" s="64"/>
      <c r="U18" s="110">
        <v>45176.71163194445</v>
      </c>
      <c r="V18" s="111" t="str">
        <f>HYPERLINK("https://twitter.com/jeremyl72410226/status/1699831080671670294")</f>
        <v>https://twitter.com/jeremyl72410226/status/1699831080671670294</v>
      </c>
      <c r="W18" s="64"/>
      <c r="X18" s="64"/>
      <c r="Y18" s="136" t="s">
        <v>1289</v>
      </c>
      <c r="Z18" s="64"/>
      <c r="AA18" s="104">
        <v>1</v>
      </c>
      <c r="AB18" s="105"/>
      <c r="AC18" s="106"/>
      <c r="AD18" s="105"/>
      <c r="AE18" s="106"/>
      <c r="AF18" s="105"/>
      <c r="AG18" s="106"/>
      <c r="AH18" s="48"/>
      <c r="AI18" s="49"/>
      <c r="AJ18" s="48"/>
      <c r="AK18" s="107"/>
      <c r="AL18" s="111" t="str">
        <f>HYPERLINK("https://pbs.twimg.com/profile_images/1390424385509601283/lkN-bziw_normal.jpg")</f>
        <v>https://pbs.twimg.com/profile_images/1390424385509601283/lkN-bziw_normal.jpg</v>
      </c>
      <c r="AM18" s="64"/>
      <c r="AN18" s="64">
        <v>1</v>
      </c>
      <c r="AO18" s="64"/>
      <c r="AP18" s="64"/>
      <c r="AQ18" s="64" t="s">
        <v>1155</v>
      </c>
      <c r="AR18" s="64"/>
      <c r="AS18" s="136" t="s">
        <v>691</v>
      </c>
      <c r="AT18" s="64"/>
      <c r="AU18" s="64">
        <v>0</v>
      </c>
      <c r="AV18" s="136" t="s">
        <v>691</v>
      </c>
      <c r="AW18" s="136" t="s">
        <v>1149</v>
      </c>
      <c r="AX18" s="64"/>
      <c r="AY18" s="136" t="s">
        <v>1386</v>
      </c>
      <c r="AZ18" s="64"/>
      <c r="BA18" s="64"/>
      <c r="BB18" s="64"/>
      <c r="BC18" s="64"/>
      <c r="BD18" s="64"/>
      <c r="BE18" s="64"/>
      <c r="BF18" s="64"/>
      <c r="BG18" s="64"/>
      <c r="BH18" s="64"/>
      <c r="BI18" s="64"/>
      <c r="BJ18" s="64"/>
      <c r="BK18" s="63" t="str">
        <f>REPLACE(INDEX(GroupVertices[Group],MATCH(Edges[[#This Row],[Vertex 1]],GroupVertices[Vertex],0)),1,1,"")</f>
        <v>5</v>
      </c>
      <c r="BL18" s="63" t="str">
        <f>REPLACE(INDEX(GroupVertices[Group],MATCH(Edges[[#This Row],[Vertex 2]],GroupVertices[Vertex],0)),1,1,"")</f>
        <v>5</v>
      </c>
      <c r="BM18" s="137">
        <v>45176</v>
      </c>
      <c r="BN18" s="138" t="s">
        <v>1166</v>
      </c>
      <c r="BO18" s="48"/>
      <c r="BP18" s="49"/>
      <c r="BQ18" s="48"/>
      <c r="BR18" s="49"/>
      <c r="BS18" s="48"/>
      <c r="BT18" s="49"/>
      <c r="BU18" s="107">
        <v>0</v>
      </c>
      <c r="BV18" s="64">
        <v>0</v>
      </c>
      <c r="BW18" s="64">
        <v>27</v>
      </c>
      <c r="BX18" s="64" t="s">
        <v>1105</v>
      </c>
      <c r="BY18" s="64"/>
      <c r="BZ18" s="64"/>
      <c r="CA18" s="64"/>
      <c r="CB18" s="64"/>
      <c r="CC18" s="64"/>
      <c r="CD18" s="64"/>
      <c r="CE18" s="64"/>
      <c r="CF18" s="64"/>
      <c r="CG18" s="64"/>
      <c r="CH18" s="64"/>
      <c r="CI18" s="64"/>
      <c r="CJ18" s="64"/>
      <c r="CK18" s="136" t="s">
        <v>1386</v>
      </c>
      <c r="CL18" s="136" t="s">
        <v>1402</v>
      </c>
      <c r="CM18" s="136" t="s">
        <v>1386</v>
      </c>
      <c r="CN18" s="136" t="s">
        <v>1425</v>
      </c>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row>
    <row r="19" spans="1:128" ht="15">
      <c r="A19" s="62" t="s">
        <v>906</v>
      </c>
      <c r="B19" s="62" t="s">
        <v>947</v>
      </c>
      <c r="C19" s="78" t="s">
        <v>714</v>
      </c>
      <c r="D19" s="84">
        <v>5</v>
      </c>
      <c r="E19" s="85" t="s">
        <v>131</v>
      </c>
      <c r="F19" s="86">
        <v>16</v>
      </c>
      <c r="G19" s="78"/>
      <c r="H19" s="70"/>
      <c r="I19" s="87"/>
      <c r="J19" s="87"/>
      <c r="K19" s="34" t="s">
        <v>65</v>
      </c>
      <c r="L19" s="103">
        <v>19</v>
      </c>
      <c r="M19" s="103"/>
      <c r="N19" s="89"/>
      <c r="O19" s="64" t="s">
        <v>966</v>
      </c>
      <c r="P19" s="110">
        <v>45176.71163194445</v>
      </c>
      <c r="Q19" s="64" t="s">
        <v>977</v>
      </c>
      <c r="R19" s="64"/>
      <c r="S19" s="64"/>
      <c r="T19" s="64"/>
      <c r="U19" s="110">
        <v>45176.71163194445</v>
      </c>
      <c r="V19" s="111" t="str">
        <f>HYPERLINK("https://twitter.com/jeremyl72410226/status/1699831080671670294")</f>
        <v>https://twitter.com/jeremyl72410226/status/1699831080671670294</v>
      </c>
      <c r="W19" s="64"/>
      <c r="X19" s="64"/>
      <c r="Y19" s="136" t="s">
        <v>1289</v>
      </c>
      <c r="Z19" s="64"/>
      <c r="AA19" s="104">
        <v>1</v>
      </c>
      <c r="AB19" s="105"/>
      <c r="AC19" s="106"/>
      <c r="AD19" s="105"/>
      <c r="AE19" s="106"/>
      <c r="AF19" s="105"/>
      <c r="AG19" s="106"/>
      <c r="AH19" s="48">
        <v>4</v>
      </c>
      <c r="AI19" s="49">
        <v>100</v>
      </c>
      <c r="AJ19" s="48">
        <v>4</v>
      </c>
      <c r="AK19" s="107"/>
      <c r="AL19" s="111" t="str">
        <f>HYPERLINK("https://pbs.twimg.com/profile_images/1390424385509601283/lkN-bziw_normal.jpg")</f>
        <v>https://pbs.twimg.com/profile_images/1390424385509601283/lkN-bziw_normal.jpg</v>
      </c>
      <c r="AM19" s="64"/>
      <c r="AN19" s="64">
        <v>1</v>
      </c>
      <c r="AO19" s="64"/>
      <c r="AP19" s="64"/>
      <c r="AQ19" s="64" t="s">
        <v>1155</v>
      </c>
      <c r="AR19" s="64"/>
      <c r="AS19" s="136" t="s">
        <v>691</v>
      </c>
      <c r="AT19" s="64"/>
      <c r="AU19" s="64">
        <v>0</v>
      </c>
      <c r="AV19" s="136" t="s">
        <v>691</v>
      </c>
      <c r="AW19" s="136" t="s">
        <v>1149</v>
      </c>
      <c r="AX19" s="64"/>
      <c r="AY19" s="136" t="s">
        <v>1386</v>
      </c>
      <c r="AZ19" s="64"/>
      <c r="BA19" s="64"/>
      <c r="BB19" s="64"/>
      <c r="BC19" s="64"/>
      <c r="BD19" s="64"/>
      <c r="BE19" s="64"/>
      <c r="BF19" s="64"/>
      <c r="BG19" s="64"/>
      <c r="BH19" s="64"/>
      <c r="BI19" s="64"/>
      <c r="BJ19" s="64"/>
      <c r="BK19" s="63" t="str">
        <f>REPLACE(INDEX(GroupVertices[Group],MATCH(Edges[[#This Row],[Vertex 1]],GroupVertices[Vertex],0)),1,1,"")</f>
        <v>5</v>
      </c>
      <c r="BL19" s="63" t="str">
        <f>REPLACE(INDEX(GroupVertices[Group],MATCH(Edges[[#This Row],[Vertex 2]],GroupVertices[Vertex],0)),1,1,"")</f>
        <v>5</v>
      </c>
      <c r="BM19" s="137">
        <v>45176</v>
      </c>
      <c r="BN19" s="138" t="s">
        <v>1166</v>
      </c>
      <c r="BO19" s="48">
        <v>0</v>
      </c>
      <c r="BP19" s="49">
        <v>0</v>
      </c>
      <c r="BQ19" s="48">
        <v>0</v>
      </c>
      <c r="BR19" s="49">
        <v>0</v>
      </c>
      <c r="BS19" s="48">
        <v>0</v>
      </c>
      <c r="BT19" s="49">
        <v>0</v>
      </c>
      <c r="BU19" s="107">
        <v>0</v>
      </c>
      <c r="BV19" s="64">
        <v>0</v>
      </c>
      <c r="BW19" s="64">
        <v>27</v>
      </c>
      <c r="BX19" s="64" t="s">
        <v>1105</v>
      </c>
      <c r="BY19" s="64"/>
      <c r="BZ19" s="64"/>
      <c r="CA19" s="64"/>
      <c r="CB19" s="64"/>
      <c r="CC19" s="64"/>
      <c r="CD19" s="64"/>
      <c r="CE19" s="64"/>
      <c r="CF19" s="64"/>
      <c r="CG19" s="64"/>
      <c r="CH19" s="64"/>
      <c r="CI19" s="64"/>
      <c r="CJ19" s="64"/>
      <c r="CK19" s="136" t="s">
        <v>1386</v>
      </c>
      <c r="CL19" s="136" t="s">
        <v>1402</v>
      </c>
      <c r="CM19" s="136" t="s">
        <v>1386</v>
      </c>
      <c r="CN19" s="136" t="s">
        <v>1425</v>
      </c>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row>
    <row r="20" spans="1:128" ht="15">
      <c r="A20" s="62" t="s">
        <v>906</v>
      </c>
      <c r="B20" s="62" t="s">
        <v>948</v>
      </c>
      <c r="C20" s="78" t="s">
        <v>714</v>
      </c>
      <c r="D20" s="84">
        <v>5</v>
      </c>
      <c r="E20" s="85" t="s">
        <v>131</v>
      </c>
      <c r="F20" s="86">
        <v>16</v>
      </c>
      <c r="G20" s="78"/>
      <c r="H20" s="70"/>
      <c r="I20" s="87"/>
      <c r="J20" s="87"/>
      <c r="K20" s="34" t="s">
        <v>65</v>
      </c>
      <c r="L20" s="103">
        <v>20</v>
      </c>
      <c r="M20" s="103"/>
      <c r="N20" s="89"/>
      <c r="O20" s="64" t="s">
        <v>966</v>
      </c>
      <c r="P20" s="110">
        <v>45180.01222222222</v>
      </c>
      <c r="Q20" s="64" t="s">
        <v>978</v>
      </c>
      <c r="R20" s="64"/>
      <c r="S20" s="64"/>
      <c r="T20" s="64"/>
      <c r="U20" s="110">
        <v>45180.01222222222</v>
      </c>
      <c r="V20" s="111" t="str">
        <f>HYPERLINK("https://twitter.com/jeremyl72410226/status/1701027172398616769")</f>
        <v>https://twitter.com/jeremyl72410226/status/1701027172398616769</v>
      </c>
      <c r="W20" s="64"/>
      <c r="X20" s="64"/>
      <c r="Y20" s="136" t="s">
        <v>1290</v>
      </c>
      <c r="Z20" s="64"/>
      <c r="AA20" s="104">
        <v>1</v>
      </c>
      <c r="AB20" s="105"/>
      <c r="AC20" s="106"/>
      <c r="AD20" s="105"/>
      <c r="AE20" s="106"/>
      <c r="AF20" s="105"/>
      <c r="AG20" s="106"/>
      <c r="AH20" s="48">
        <v>3</v>
      </c>
      <c r="AI20" s="49">
        <v>100</v>
      </c>
      <c r="AJ20" s="48">
        <v>3</v>
      </c>
      <c r="AK20" s="107"/>
      <c r="AL20" s="111" t="str">
        <f>HYPERLINK("https://pbs.twimg.com/profile_images/1390424385509601283/lkN-bziw_normal.jpg")</f>
        <v>https://pbs.twimg.com/profile_images/1390424385509601283/lkN-bziw_normal.jpg</v>
      </c>
      <c r="AM20" s="64"/>
      <c r="AN20" s="64">
        <v>0</v>
      </c>
      <c r="AO20" s="64"/>
      <c r="AP20" s="64"/>
      <c r="AQ20" s="64" t="s">
        <v>1155</v>
      </c>
      <c r="AR20" s="64"/>
      <c r="AS20" s="136" t="s">
        <v>691</v>
      </c>
      <c r="AT20" s="64"/>
      <c r="AU20" s="64">
        <v>0</v>
      </c>
      <c r="AV20" s="136" t="s">
        <v>691</v>
      </c>
      <c r="AW20" s="136" t="s">
        <v>1149</v>
      </c>
      <c r="AX20" s="64"/>
      <c r="AY20" s="136" t="s">
        <v>1387</v>
      </c>
      <c r="AZ20" s="64"/>
      <c r="BA20" s="64"/>
      <c r="BB20" s="64"/>
      <c r="BC20" s="64"/>
      <c r="BD20" s="64"/>
      <c r="BE20" s="64"/>
      <c r="BF20" s="64"/>
      <c r="BG20" s="64"/>
      <c r="BH20" s="64"/>
      <c r="BI20" s="64"/>
      <c r="BJ20" s="64"/>
      <c r="BK20" s="63" t="str">
        <f>REPLACE(INDEX(GroupVertices[Group],MATCH(Edges[[#This Row],[Vertex 1]],GroupVertices[Vertex],0)),1,1,"")</f>
        <v>5</v>
      </c>
      <c r="BL20" s="63" t="str">
        <f>REPLACE(INDEX(GroupVertices[Group],MATCH(Edges[[#This Row],[Vertex 2]],GroupVertices[Vertex],0)),1,1,"")</f>
        <v>5</v>
      </c>
      <c r="BM20" s="137">
        <v>45180</v>
      </c>
      <c r="BN20" s="138" t="s">
        <v>1167</v>
      </c>
      <c r="BO20" s="48">
        <v>0</v>
      </c>
      <c r="BP20" s="49">
        <v>0</v>
      </c>
      <c r="BQ20" s="48">
        <v>0</v>
      </c>
      <c r="BR20" s="49">
        <v>0</v>
      </c>
      <c r="BS20" s="48">
        <v>0</v>
      </c>
      <c r="BT20" s="49">
        <v>0</v>
      </c>
      <c r="BU20" s="107">
        <v>0</v>
      </c>
      <c r="BV20" s="64">
        <v>0</v>
      </c>
      <c r="BW20" s="64">
        <v>514</v>
      </c>
      <c r="BX20" s="64" t="s">
        <v>948</v>
      </c>
      <c r="BY20" s="64"/>
      <c r="BZ20" s="64"/>
      <c r="CA20" s="64"/>
      <c r="CB20" s="64"/>
      <c r="CC20" s="64"/>
      <c r="CD20" s="64"/>
      <c r="CE20" s="64"/>
      <c r="CF20" s="64"/>
      <c r="CG20" s="64"/>
      <c r="CH20" s="64"/>
      <c r="CI20" s="64"/>
      <c r="CJ20" s="64"/>
      <c r="CK20" s="136" t="s">
        <v>1387</v>
      </c>
      <c r="CL20" s="136" t="s">
        <v>1403</v>
      </c>
      <c r="CM20" s="136" t="s">
        <v>1387</v>
      </c>
      <c r="CN20" s="136" t="s">
        <v>1425</v>
      </c>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row>
    <row r="21" spans="1:128" ht="15">
      <c r="A21" s="62" t="s">
        <v>906</v>
      </c>
      <c r="B21" s="62" t="s">
        <v>949</v>
      </c>
      <c r="C21" s="78" t="s">
        <v>714</v>
      </c>
      <c r="D21" s="84">
        <v>5</v>
      </c>
      <c r="E21" s="85" t="s">
        <v>131</v>
      </c>
      <c r="F21" s="86">
        <v>16</v>
      </c>
      <c r="G21" s="78"/>
      <c r="H21" s="70"/>
      <c r="I21" s="87"/>
      <c r="J21" s="87"/>
      <c r="K21" s="34" t="s">
        <v>65</v>
      </c>
      <c r="L21" s="103">
        <v>21</v>
      </c>
      <c r="M21" s="103"/>
      <c r="N21" s="89"/>
      <c r="O21" s="64" t="s">
        <v>967</v>
      </c>
      <c r="P21" s="110">
        <v>45182.19252314815</v>
      </c>
      <c r="Q21" s="64" t="s">
        <v>979</v>
      </c>
      <c r="R21" s="64"/>
      <c r="S21" s="64"/>
      <c r="T21" s="64"/>
      <c r="U21" s="110">
        <v>45182.19252314815</v>
      </c>
      <c r="V21" s="111" t="str">
        <f>HYPERLINK("https://twitter.com/jeremyl72410226/status/1701817287047524441")</f>
        <v>https://twitter.com/jeremyl72410226/status/1701817287047524441</v>
      </c>
      <c r="W21" s="64"/>
      <c r="X21" s="64"/>
      <c r="Y21" s="136" t="s">
        <v>1291</v>
      </c>
      <c r="Z21" s="64"/>
      <c r="AA21" s="104">
        <v>1</v>
      </c>
      <c r="AB21" s="105"/>
      <c r="AC21" s="106"/>
      <c r="AD21" s="105"/>
      <c r="AE21" s="106"/>
      <c r="AF21" s="105"/>
      <c r="AG21" s="106"/>
      <c r="AH21" s="48"/>
      <c r="AI21" s="49"/>
      <c r="AJ21" s="48"/>
      <c r="AK21" s="107"/>
      <c r="AL21" s="111" t="str">
        <f>HYPERLINK("https://pbs.twimg.com/profile_images/1390424385509601283/lkN-bziw_normal.jpg")</f>
        <v>https://pbs.twimg.com/profile_images/1390424385509601283/lkN-bziw_normal.jpg</v>
      </c>
      <c r="AM21" s="64"/>
      <c r="AN21" s="64">
        <v>0</v>
      </c>
      <c r="AO21" s="64"/>
      <c r="AP21" s="64"/>
      <c r="AQ21" s="64" t="s">
        <v>1156</v>
      </c>
      <c r="AR21" s="64"/>
      <c r="AS21" s="136" t="s">
        <v>691</v>
      </c>
      <c r="AT21" s="64"/>
      <c r="AU21" s="64">
        <v>0</v>
      </c>
      <c r="AV21" s="136" t="s">
        <v>691</v>
      </c>
      <c r="AW21" s="136" t="s">
        <v>1149</v>
      </c>
      <c r="AX21" s="64"/>
      <c r="AY21" s="136" t="s">
        <v>1388</v>
      </c>
      <c r="AZ21" s="64"/>
      <c r="BA21" s="64"/>
      <c r="BB21" s="64"/>
      <c r="BC21" s="64"/>
      <c r="BD21" s="64"/>
      <c r="BE21" s="64"/>
      <c r="BF21" s="64"/>
      <c r="BG21" s="64"/>
      <c r="BH21" s="64"/>
      <c r="BI21" s="64"/>
      <c r="BJ21" s="64"/>
      <c r="BK21" s="63" t="str">
        <f>REPLACE(INDEX(GroupVertices[Group],MATCH(Edges[[#This Row],[Vertex 1]],GroupVertices[Vertex],0)),1,1,"")</f>
        <v>5</v>
      </c>
      <c r="BL21" s="63" t="str">
        <f>REPLACE(INDEX(GroupVertices[Group],MATCH(Edges[[#This Row],[Vertex 2]],GroupVertices[Vertex],0)),1,1,"")</f>
        <v>5</v>
      </c>
      <c r="BM21" s="137">
        <v>45182</v>
      </c>
      <c r="BN21" s="138" t="s">
        <v>1168</v>
      </c>
      <c r="BO21" s="48"/>
      <c r="BP21" s="49"/>
      <c r="BQ21" s="48"/>
      <c r="BR21" s="49"/>
      <c r="BS21" s="48"/>
      <c r="BT21" s="49"/>
      <c r="BU21" s="107">
        <v>0</v>
      </c>
      <c r="BV21" s="64">
        <v>0</v>
      </c>
      <c r="BW21" s="64">
        <v>1254</v>
      </c>
      <c r="BX21" s="64" t="s">
        <v>1106</v>
      </c>
      <c r="BY21" s="64"/>
      <c r="BZ21" s="64"/>
      <c r="CA21" s="64"/>
      <c r="CB21" s="64"/>
      <c r="CC21" s="64"/>
      <c r="CD21" s="64"/>
      <c r="CE21" s="64"/>
      <c r="CF21" s="64"/>
      <c r="CG21" s="64"/>
      <c r="CH21" s="64"/>
      <c r="CI21" s="64"/>
      <c r="CJ21" s="64"/>
      <c r="CK21" s="136" t="s">
        <v>1388</v>
      </c>
      <c r="CL21" s="136" t="s">
        <v>1404</v>
      </c>
      <c r="CM21" s="136" t="s">
        <v>1388</v>
      </c>
      <c r="CN21" s="136" t="s">
        <v>1425</v>
      </c>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row>
    <row r="22" spans="1:128" ht="15">
      <c r="A22" s="62" t="s">
        <v>906</v>
      </c>
      <c r="B22" s="62" t="s">
        <v>950</v>
      </c>
      <c r="C22" s="78" t="s">
        <v>714</v>
      </c>
      <c r="D22" s="84">
        <v>5</v>
      </c>
      <c r="E22" s="85" t="s">
        <v>131</v>
      </c>
      <c r="F22" s="86">
        <v>16</v>
      </c>
      <c r="G22" s="78"/>
      <c r="H22" s="70"/>
      <c r="I22" s="87"/>
      <c r="J22" s="87"/>
      <c r="K22" s="34" t="s">
        <v>65</v>
      </c>
      <c r="L22" s="103">
        <v>22</v>
      </c>
      <c r="M22" s="103"/>
      <c r="N22" s="89"/>
      <c r="O22" s="64" t="s">
        <v>966</v>
      </c>
      <c r="P22" s="110">
        <v>45182.19252314815</v>
      </c>
      <c r="Q22" s="64" t="s">
        <v>979</v>
      </c>
      <c r="R22" s="64"/>
      <c r="S22" s="64"/>
      <c r="T22" s="64"/>
      <c r="U22" s="110">
        <v>45182.19252314815</v>
      </c>
      <c r="V22" s="111" t="str">
        <f>HYPERLINK("https://twitter.com/jeremyl72410226/status/1701817287047524441")</f>
        <v>https://twitter.com/jeremyl72410226/status/1701817287047524441</v>
      </c>
      <c r="W22" s="64"/>
      <c r="X22" s="64"/>
      <c r="Y22" s="136" t="s">
        <v>1291</v>
      </c>
      <c r="Z22" s="64"/>
      <c r="AA22" s="104">
        <v>1</v>
      </c>
      <c r="AB22" s="105"/>
      <c r="AC22" s="106"/>
      <c r="AD22" s="105"/>
      <c r="AE22" s="106"/>
      <c r="AF22" s="105"/>
      <c r="AG22" s="106"/>
      <c r="AH22" s="48">
        <v>3</v>
      </c>
      <c r="AI22" s="49">
        <v>100</v>
      </c>
      <c r="AJ22" s="48">
        <v>3</v>
      </c>
      <c r="AK22" s="107"/>
      <c r="AL22" s="111" t="str">
        <f>HYPERLINK("https://pbs.twimg.com/profile_images/1390424385509601283/lkN-bziw_normal.jpg")</f>
        <v>https://pbs.twimg.com/profile_images/1390424385509601283/lkN-bziw_normal.jpg</v>
      </c>
      <c r="AM22" s="64"/>
      <c r="AN22" s="64">
        <v>0</v>
      </c>
      <c r="AO22" s="64"/>
      <c r="AP22" s="64"/>
      <c r="AQ22" s="64" t="s">
        <v>1156</v>
      </c>
      <c r="AR22" s="64"/>
      <c r="AS22" s="136" t="s">
        <v>691</v>
      </c>
      <c r="AT22" s="64"/>
      <c r="AU22" s="64">
        <v>0</v>
      </c>
      <c r="AV22" s="136" t="s">
        <v>691</v>
      </c>
      <c r="AW22" s="136" t="s">
        <v>1149</v>
      </c>
      <c r="AX22" s="64"/>
      <c r="AY22" s="136" t="s">
        <v>1388</v>
      </c>
      <c r="AZ22" s="64"/>
      <c r="BA22" s="64"/>
      <c r="BB22" s="64"/>
      <c r="BC22" s="64"/>
      <c r="BD22" s="64"/>
      <c r="BE22" s="64"/>
      <c r="BF22" s="64"/>
      <c r="BG22" s="64"/>
      <c r="BH22" s="64"/>
      <c r="BI22" s="64"/>
      <c r="BJ22" s="64"/>
      <c r="BK22" s="63" t="str">
        <f>REPLACE(INDEX(GroupVertices[Group],MATCH(Edges[[#This Row],[Vertex 1]],GroupVertices[Vertex],0)),1,1,"")</f>
        <v>5</v>
      </c>
      <c r="BL22" s="63" t="str">
        <f>REPLACE(INDEX(GroupVertices[Group],MATCH(Edges[[#This Row],[Vertex 2]],GroupVertices[Vertex],0)),1,1,"")</f>
        <v>5</v>
      </c>
      <c r="BM22" s="137">
        <v>45182</v>
      </c>
      <c r="BN22" s="138" t="s">
        <v>1168</v>
      </c>
      <c r="BO22" s="48">
        <v>0</v>
      </c>
      <c r="BP22" s="49">
        <v>0</v>
      </c>
      <c r="BQ22" s="48">
        <v>0</v>
      </c>
      <c r="BR22" s="49">
        <v>0</v>
      </c>
      <c r="BS22" s="48">
        <v>0</v>
      </c>
      <c r="BT22" s="49">
        <v>0</v>
      </c>
      <c r="BU22" s="107">
        <v>0</v>
      </c>
      <c r="BV22" s="64">
        <v>0</v>
      </c>
      <c r="BW22" s="64">
        <v>1254</v>
      </c>
      <c r="BX22" s="64" t="s">
        <v>1106</v>
      </c>
      <c r="BY22" s="64"/>
      <c r="BZ22" s="64"/>
      <c r="CA22" s="64"/>
      <c r="CB22" s="64"/>
      <c r="CC22" s="64"/>
      <c r="CD22" s="64"/>
      <c r="CE22" s="64"/>
      <c r="CF22" s="64"/>
      <c r="CG22" s="64"/>
      <c r="CH22" s="64"/>
      <c r="CI22" s="64"/>
      <c r="CJ22" s="64"/>
      <c r="CK22" s="136" t="s">
        <v>1388</v>
      </c>
      <c r="CL22" s="136" t="s">
        <v>1404</v>
      </c>
      <c r="CM22" s="136" t="s">
        <v>1388</v>
      </c>
      <c r="CN22" s="136" t="s">
        <v>1425</v>
      </c>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row>
    <row r="23" spans="1:128" ht="15">
      <c r="A23" s="62" t="s">
        <v>907</v>
      </c>
      <c r="B23" s="62" t="s">
        <v>907</v>
      </c>
      <c r="C23" s="78" t="s">
        <v>714</v>
      </c>
      <c r="D23" s="84">
        <v>5</v>
      </c>
      <c r="E23" s="85" t="s">
        <v>131</v>
      </c>
      <c r="F23" s="86">
        <v>16</v>
      </c>
      <c r="G23" s="78"/>
      <c r="H23" s="70"/>
      <c r="I23" s="87"/>
      <c r="J23" s="87"/>
      <c r="K23" s="34" t="s">
        <v>65</v>
      </c>
      <c r="L23" s="103">
        <v>23</v>
      </c>
      <c r="M23" s="103"/>
      <c r="N23" s="89"/>
      <c r="O23" s="64" t="s">
        <v>183</v>
      </c>
      <c r="P23" s="110">
        <v>45182.47048611111</v>
      </c>
      <c r="Q23" s="64" t="s">
        <v>980</v>
      </c>
      <c r="R23" s="64"/>
      <c r="S23" s="64"/>
      <c r="T23" s="136" t="s">
        <v>1068</v>
      </c>
      <c r="U23" s="110">
        <v>45182.47048611111</v>
      </c>
      <c r="V23" s="111" t="str">
        <f>HYPERLINK("https://twitter.com/hfaxcjqrmpttxou/status/1701918018312474814")</f>
        <v>https://twitter.com/hfaxcjqrmpttxou/status/1701918018312474814</v>
      </c>
      <c r="W23" s="64"/>
      <c r="X23" s="64"/>
      <c r="Y23" s="136" t="s">
        <v>1292</v>
      </c>
      <c r="Z23" s="64"/>
      <c r="AA23" s="104">
        <v>1</v>
      </c>
      <c r="AB23" s="105"/>
      <c r="AC23" s="106"/>
      <c r="AD23" s="105"/>
      <c r="AE23" s="106"/>
      <c r="AF23" s="105"/>
      <c r="AG23" s="106"/>
      <c r="AH23" s="48">
        <v>2</v>
      </c>
      <c r="AI23" s="49">
        <v>100</v>
      </c>
      <c r="AJ23" s="48">
        <v>2</v>
      </c>
      <c r="AK23" s="107" t="s">
        <v>1121</v>
      </c>
      <c r="AL23" s="111" t="str">
        <f>HYPERLINK("https://pbs.twimg.com/media/F55tZ-ZaIAAWm2O.jpg")</f>
        <v>https://pbs.twimg.com/media/F55tZ-ZaIAAWm2O.jpg</v>
      </c>
      <c r="AM23" s="64"/>
      <c r="AN23" s="64">
        <v>1</v>
      </c>
      <c r="AO23" s="64"/>
      <c r="AP23" s="64"/>
      <c r="AQ23" s="64" t="s">
        <v>1156</v>
      </c>
      <c r="AR23" s="64" t="b">
        <v>0</v>
      </c>
      <c r="AS23" s="136" t="s">
        <v>691</v>
      </c>
      <c r="AT23" s="64"/>
      <c r="AU23" s="64">
        <v>0</v>
      </c>
      <c r="AV23" s="136" t="s">
        <v>691</v>
      </c>
      <c r="AW23" s="136" t="s">
        <v>1149</v>
      </c>
      <c r="AX23" s="64"/>
      <c r="AY23" s="136" t="s">
        <v>1292</v>
      </c>
      <c r="AZ23" s="64"/>
      <c r="BA23" s="64"/>
      <c r="BB23" s="64"/>
      <c r="BC23" s="64"/>
      <c r="BD23" s="64"/>
      <c r="BE23" s="64"/>
      <c r="BF23" s="64"/>
      <c r="BG23" s="64"/>
      <c r="BH23" s="64"/>
      <c r="BI23" s="64"/>
      <c r="BJ23" s="64"/>
      <c r="BK23" s="63" t="str">
        <f>REPLACE(INDEX(GroupVertices[Group],MATCH(Edges[[#This Row],[Vertex 1]],GroupVertices[Vertex],0)),1,1,"")</f>
        <v>14</v>
      </c>
      <c r="BL23" s="63" t="str">
        <f>REPLACE(INDEX(GroupVertices[Group],MATCH(Edges[[#This Row],[Vertex 2]],GroupVertices[Vertex],0)),1,1,"")</f>
        <v>14</v>
      </c>
      <c r="BM23" s="137">
        <v>45182</v>
      </c>
      <c r="BN23" s="138" t="s">
        <v>1169</v>
      </c>
      <c r="BO23" s="48">
        <v>0</v>
      </c>
      <c r="BP23" s="49">
        <v>0</v>
      </c>
      <c r="BQ23" s="48">
        <v>0</v>
      </c>
      <c r="BR23" s="49">
        <v>0</v>
      </c>
      <c r="BS23" s="48">
        <v>0</v>
      </c>
      <c r="BT23" s="49">
        <v>0</v>
      </c>
      <c r="BU23" s="107">
        <v>0</v>
      </c>
      <c r="BV23" s="64">
        <v>0</v>
      </c>
      <c r="BW23" s="64">
        <v>6</v>
      </c>
      <c r="BX23" s="64"/>
      <c r="BY23" s="64"/>
      <c r="BZ23" s="64" t="s">
        <v>1143</v>
      </c>
      <c r="CA23" s="64"/>
      <c r="CB23" s="64"/>
      <c r="CC23" s="64"/>
      <c r="CD23" s="64" t="s">
        <v>1262</v>
      </c>
      <c r="CE23" s="64"/>
      <c r="CF23" s="64"/>
      <c r="CG23" s="64"/>
      <c r="CH23" s="64"/>
      <c r="CI23" s="64"/>
      <c r="CJ23" s="64"/>
      <c r="CK23" s="136" t="s">
        <v>1292</v>
      </c>
      <c r="CL23" s="64"/>
      <c r="CM23" s="136" t="s">
        <v>691</v>
      </c>
      <c r="CN23" s="136" t="s">
        <v>1426</v>
      </c>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row>
    <row r="24" spans="1:128" ht="15">
      <c r="A24" s="62" t="s">
        <v>908</v>
      </c>
      <c r="B24" s="62" t="s">
        <v>951</v>
      </c>
      <c r="C24" s="78" t="s">
        <v>714</v>
      </c>
      <c r="D24" s="84">
        <v>5</v>
      </c>
      <c r="E24" s="85" t="s">
        <v>131</v>
      </c>
      <c r="F24" s="86">
        <v>16</v>
      </c>
      <c r="G24" s="78"/>
      <c r="H24" s="70"/>
      <c r="I24" s="87"/>
      <c r="J24" s="87"/>
      <c r="K24" s="34" t="s">
        <v>65</v>
      </c>
      <c r="L24" s="103">
        <v>24</v>
      </c>
      <c r="M24" s="103"/>
      <c r="N24" s="89"/>
      <c r="O24" s="64" t="s">
        <v>966</v>
      </c>
      <c r="P24" s="110">
        <v>45178.555613425924</v>
      </c>
      <c r="Q24" s="64" t="s">
        <v>981</v>
      </c>
      <c r="R24" s="64"/>
      <c r="S24" s="64"/>
      <c r="T24" s="64"/>
      <c r="U24" s="110">
        <v>45178.555613425924</v>
      </c>
      <c r="V24" s="111" t="str">
        <f>HYPERLINK("https://twitter.com/jeremyl78036806/status/1700499315771236437")</f>
        <v>https://twitter.com/jeremyl78036806/status/1700499315771236437</v>
      </c>
      <c r="W24" s="64"/>
      <c r="X24" s="64"/>
      <c r="Y24" s="136" t="s">
        <v>1293</v>
      </c>
      <c r="Z24" s="64"/>
      <c r="AA24" s="104">
        <v>1</v>
      </c>
      <c r="AB24" s="105"/>
      <c r="AC24" s="106"/>
      <c r="AD24" s="105"/>
      <c r="AE24" s="106"/>
      <c r="AF24" s="105"/>
      <c r="AG24" s="106"/>
      <c r="AH24" s="48">
        <v>4</v>
      </c>
      <c r="AI24" s="49">
        <v>100</v>
      </c>
      <c r="AJ24" s="48">
        <v>4</v>
      </c>
      <c r="AK24" s="107"/>
      <c r="AL24" s="111" t="str">
        <f>HYPERLINK("https://pbs.twimg.com/profile_images/1539553672966950915/OvPDjxNS_normal.jpg")</f>
        <v>https://pbs.twimg.com/profile_images/1539553672966950915/OvPDjxNS_normal.jpg</v>
      </c>
      <c r="AM24" s="64"/>
      <c r="AN24" s="64">
        <v>2</v>
      </c>
      <c r="AO24" s="64"/>
      <c r="AP24" s="64"/>
      <c r="AQ24" s="64" t="s">
        <v>1157</v>
      </c>
      <c r="AR24" s="64"/>
      <c r="AS24" s="136" t="s">
        <v>691</v>
      </c>
      <c r="AT24" s="64"/>
      <c r="AU24" s="64">
        <v>0</v>
      </c>
      <c r="AV24" s="136" t="s">
        <v>691</v>
      </c>
      <c r="AW24" s="136" t="s">
        <v>1150</v>
      </c>
      <c r="AX24" s="64"/>
      <c r="AY24" s="136" t="s">
        <v>1389</v>
      </c>
      <c r="AZ24" s="64"/>
      <c r="BA24" s="64"/>
      <c r="BB24" s="64"/>
      <c r="BC24" s="64"/>
      <c r="BD24" s="64"/>
      <c r="BE24" s="64"/>
      <c r="BF24" s="64"/>
      <c r="BG24" s="64"/>
      <c r="BH24" s="64"/>
      <c r="BI24" s="64"/>
      <c r="BJ24" s="64"/>
      <c r="BK24" s="63" t="str">
        <f>REPLACE(INDEX(GroupVertices[Group],MATCH(Edges[[#This Row],[Vertex 1]],GroupVertices[Vertex],0)),1,1,"")</f>
        <v>10</v>
      </c>
      <c r="BL24" s="63" t="str">
        <f>REPLACE(INDEX(GroupVertices[Group],MATCH(Edges[[#This Row],[Vertex 2]],GroupVertices[Vertex],0)),1,1,"")</f>
        <v>10</v>
      </c>
      <c r="BM24" s="137">
        <v>45178</v>
      </c>
      <c r="BN24" s="138" t="s">
        <v>1170</v>
      </c>
      <c r="BO24" s="48">
        <v>0</v>
      </c>
      <c r="BP24" s="49">
        <v>0</v>
      </c>
      <c r="BQ24" s="48">
        <v>0</v>
      </c>
      <c r="BR24" s="49">
        <v>0</v>
      </c>
      <c r="BS24" s="48">
        <v>0</v>
      </c>
      <c r="BT24" s="49">
        <v>0</v>
      </c>
      <c r="BU24" s="107">
        <v>0</v>
      </c>
      <c r="BV24" s="64">
        <v>0</v>
      </c>
      <c r="BW24" s="64">
        <v>41</v>
      </c>
      <c r="BX24" s="64" t="s">
        <v>951</v>
      </c>
      <c r="BY24" s="64"/>
      <c r="BZ24" s="64"/>
      <c r="CA24" s="64"/>
      <c r="CB24" s="64"/>
      <c r="CC24" s="64"/>
      <c r="CD24" s="64"/>
      <c r="CE24" s="64"/>
      <c r="CF24" s="64"/>
      <c r="CG24" s="64"/>
      <c r="CH24" s="64"/>
      <c r="CI24" s="64"/>
      <c r="CJ24" s="64"/>
      <c r="CK24" s="136" t="s">
        <v>1389</v>
      </c>
      <c r="CL24" s="136" t="s">
        <v>1405</v>
      </c>
      <c r="CM24" s="136" t="s">
        <v>1389</v>
      </c>
      <c r="CN24" s="136" t="s">
        <v>1427</v>
      </c>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row>
    <row r="25" spans="1:128" ht="15">
      <c r="A25" s="62" t="s">
        <v>909</v>
      </c>
      <c r="B25" s="62" t="s">
        <v>909</v>
      </c>
      <c r="C25" s="78" t="s">
        <v>714</v>
      </c>
      <c r="D25" s="84">
        <v>5</v>
      </c>
      <c r="E25" s="85" t="s">
        <v>131</v>
      </c>
      <c r="F25" s="86">
        <v>16</v>
      </c>
      <c r="G25" s="78"/>
      <c r="H25" s="70"/>
      <c r="I25" s="87"/>
      <c r="J25" s="87"/>
      <c r="K25" s="34" t="s">
        <v>65</v>
      </c>
      <c r="L25" s="103">
        <v>25</v>
      </c>
      <c r="M25" s="103"/>
      <c r="N25" s="89"/>
      <c r="O25" s="64" t="s">
        <v>183</v>
      </c>
      <c r="P25" s="110">
        <v>45179.04840277778</v>
      </c>
      <c r="Q25" s="64" t="s">
        <v>982</v>
      </c>
      <c r="R25" s="64"/>
      <c r="S25" s="64"/>
      <c r="T25" s="64"/>
      <c r="U25" s="110">
        <v>45179.04840277778</v>
      </c>
      <c r="V25" s="111" t="str">
        <f>HYPERLINK("https://twitter.com/rahsh33m/status/1700677897772470424")</f>
        <v>https://twitter.com/rahsh33m/status/1700677897772470424</v>
      </c>
      <c r="W25" s="64"/>
      <c r="X25" s="64"/>
      <c r="Y25" s="136" t="s">
        <v>1294</v>
      </c>
      <c r="Z25" s="64"/>
      <c r="AA25" s="104">
        <v>1</v>
      </c>
      <c r="AB25" s="105"/>
      <c r="AC25" s="106"/>
      <c r="AD25" s="105"/>
      <c r="AE25" s="106"/>
      <c r="AF25" s="105"/>
      <c r="AG25" s="106"/>
      <c r="AH25" s="48">
        <v>4</v>
      </c>
      <c r="AI25" s="49">
        <v>100</v>
      </c>
      <c r="AJ25" s="48">
        <v>4</v>
      </c>
      <c r="AK25" s="107" t="s">
        <v>1122</v>
      </c>
      <c r="AL25" s="111" t="str">
        <f>HYPERLINK("https://pbs.twimg.com/amplify_video_thumb/1700677845616300032/img/V-JLTTiL2E_q1jAL.jpg")</f>
        <v>https://pbs.twimg.com/amplify_video_thumb/1700677845616300032/img/V-JLTTiL2E_q1jAL.jpg</v>
      </c>
      <c r="AM25" s="64"/>
      <c r="AN25" s="64">
        <v>12074</v>
      </c>
      <c r="AO25" s="64"/>
      <c r="AP25" s="64"/>
      <c r="AQ25" s="64" t="s">
        <v>1154</v>
      </c>
      <c r="AR25" s="64" t="b">
        <v>0</v>
      </c>
      <c r="AS25" s="136" t="s">
        <v>691</v>
      </c>
      <c r="AT25" s="64"/>
      <c r="AU25" s="64">
        <v>2426</v>
      </c>
      <c r="AV25" s="136" t="s">
        <v>691</v>
      </c>
      <c r="AW25" s="136" t="s">
        <v>1149</v>
      </c>
      <c r="AX25" s="64"/>
      <c r="AY25" s="136" t="s">
        <v>1294</v>
      </c>
      <c r="AZ25" s="64"/>
      <c r="BA25" s="64"/>
      <c r="BB25" s="64"/>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3</v>
      </c>
      <c r="BM25" s="137">
        <v>45179</v>
      </c>
      <c r="BN25" s="138" t="s">
        <v>1171</v>
      </c>
      <c r="BO25" s="48">
        <v>0</v>
      </c>
      <c r="BP25" s="49">
        <v>0</v>
      </c>
      <c r="BQ25" s="48">
        <v>0</v>
      </c>
      <c r="BR25" s="49">
        <v>0</v>
      </c>
      <c r="BS25" s="48">
        <v>0</v>
      </c>
      <c r="BT25" s="49">
        <v>0</v>
      </c>
      <c r="BU25" s="107">
        <v>158</v>
      </c>
      <c r="BV25" s="64">
        <v>807</v>
      </c>
      <c r="BW25" s="64">
        <v>2819546</v>
      </c>
      <c r="BX25" s="64"/>
      <c r="BY25" s="64"/>
      <c r="BZ25" s="64" t="s">
        <v>1144</v>
      </c>
      <c r="CA25" s="64"/>
      <c r="CB25" s="64"/>
      <c r="CC25" s="64"/>
      <c r="CD25" s="64" t="s">
        <v>1263</v>
      </c>
      <c r="CE25" s="64">
        <v>8741</v>
      </c>
      <c r="CF25" s="64"/>
      <c r="CG25" s="64"/>
      <c r="CH25" s="64">
        <v>620546</v>
      </c>
      <c r="CI25" s="64"/>
      <c r="CJ25" s="64"/>
      <c r="CK25" s="136" t="s">
        <v>1294</v>
      </c>
      <c r="CL25" s="64"/>
      <c r="CM25" s="136" t="s">
        <v>691</v>
      </c>
      <c r="CN25" s="136" t="s">
        <v>1428</v>
      </c>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row>
    <row r="26" spans="1:128" ht="15">
      <c r="A26" s="62" t="s">
        <v>910</v>
      </c>
      <c r="B26" s="62" t="s">
        <v>909</v>
      </c>
      <c r="C26" s="78" t="s">
        <v>714</v>
      </c>
      <c r="D26" s="84">
        <v>5</v>
      </c>
      <c r="E26" s="85" t="s">
        <v>131</v>
      </c>
      <c r="F26" s="86">
        <v>16</v>
      </c>
      <c r="G26" s="78"/>
      <c r="H26" s="70"/>
      <c r="I26" s="87"/>
      <c r="J26" s="87"/>
      <c r="K26" s="34" t="s">
        <v>65</v>
      </c>
      <c r="L26" s="103">
        <v>26</v>
      </c>
      <c r="M26" s="103"/>
      <c r="N26" s="89"/>
      <c r="O26" s="64" t="s">
        <v>969</v>
      </c>
      <c r="P26" s="110">
        <v>45179.54907407407</v>
      </c>
      <c r="Q26" s="64" t="s">
        <v>983</v>
      </c>
      <c r="R26" s="64"/>
      <c r="S26" s="64"/>
      <c r="T26" s="64"/>
      <c r="U26" s="110">
        <v>45179.54907407407</v>
      </c>
      <c r="V26" s="111" t="str">
        <f>HYPERLINK("https://twitter.com/tdflakes/status/1700859335478333746")</f>
        <v>https://twitter.com/tdflakes/status/1700859335478333746</v>
      </c>
      <c r="W26" s="64"/>
      <c r="X26" s="64"/>
      <c r="Y26" s="136" t="s">
        <v>1295</v>
      </c>
      <c r="Z26" s="64"/>
      <c r="AA26" s="104">
        <v>1</v>
      </c>
      <c r="AB26" s="105"/>
      <c r="AC26" s="106"/>
      <c r="AD26" s="105"/>
      <c r="AE26" s="106"/>
      <c r="AF26" s="105"/>
      <c r="AG26" s="106"/>
      <c r="AH26" s="48">
        <v>3</v>
      </c>
      <c r="AI26" s="49">
        <v>60</v>
      </c>
      <c r="AJ26" s="48">
        <v>5</v>
      </c>
      <c r="AK26" s="107"/>
      <c r="AL26" s="111" t="str">
        <f>HYPERLINK("https://pbs.twimg.com/profile_images/1689674972329885696/yAjeFUKL_normal.jpg")</f>
        <v>https://pbs.twimg.com/profile_images/1689674972329885696/yAjeFUKL_normal.jpg</v>
      </c>
      <c r="AM26" s="64"/>
      <c r="AN26" s="64">
        <v>21234</v>
      </c>
      <c r="AO26" s="64"/>
      <c r="AP26" s="64"/>
      <c r="AQ26" s="64" t="s">
        <v>1154</v>
      </c>
      <c r="AR26" s="64"/>
      <c r="AS26" s="136" t="s">
        <v>1294</v>
      </c>
      <c r="AT26" s="64"/>
      <c r="AU26" s="64">
        <v>4036</v>
      </c>
      <c r="AV26" s="136" t="s">
        <v>691</v>
      </c>
      <c r="AW26" s="136" t="s">
        <v>1149</v>
      </c>
      <c r="AX26" s="64"/>
      <c r="AY26" s="136" t="s">
        <v>1294</v>
      </c>
      <c r="AZ26" s="64"/>
      <c r="BA26" s="64"/>
      <c r="BB26" s="64"/>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c r="BM26" s="137">
        <v>45179</v>
      </c>
      <c r="BN26" s="138" t="s">
        <v>1172</v>
      </c>
      <c r="BO26" s="48">
        <v>0</v>
      </c>
      <c r="BP26" s="49">
        <v>0</v>
      </c>
      <c r="BQ26" s="48">
        <v>0</v>
      </c>
      <c r="BR26" s="49">
        <v>0</v>
      </c>
      <c r="BS26" s="48">
        <v>0</v>
      </c>
      <c r="BT26" s="49">
        <v>0</v>
      </c>
      <c r="BU26" s="107">
        <v>65</v>
      </c>
      <c r="BV26" s="64">
        <v>57</v>
      </c>
      <c r="BW26" s="64">
        <v>1700578</v>
      </c>
      <c r="BX26" s="64"/>
      <c r="BY26" s="64"/>
      <c r="BZ26" s="64"/>
      <c r="CA26" s="64"/>
      <c r="CB26" s="64"/>
      <c r="CC26" s="64"/>
      <c r="CD26" s="64"/>
      <c r="CE26" s="64"/>
      <c r="CF26" s="64"/>
      <c r="CG26" s="64"/>
      <c r="CH26" s="64"/>
      <c r="CI26" s="64"/>
      <c r="CJ26" s="64"/>
      <c r="CK26" s="136" t="s">
        <v>1295</v>
      </c>
      <c r="CL26" s="64"/>
      <c r="CM26" s="136" t="s">
        <v>691</v>
      </c>
      <c r="CN26" s="136" t="s">
        <v>1429</v>
      </c>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row>
    <row r="27" spans="1:128" ht="15">
      <c r="A27" s="62" t="s">
        <v>911</v>
      </c>
      <c r="B27" s="62" t="s">
        <v>911</v>
      </c>
      <c r="C27" s="78" t="s">
        <v>714</v>
      </c>
      <c r="D27" s="84">
        <v>5</v>
      </c>
      <c r="E27" s="85" t="s">
        <v>131</v>
      </c>
      <c r="F27" s="86">
        <v>16</v>
      </c>
      <c r="G27" s="78"/>
      <c r="H27" s="70"/>
      <c r="I27" s="87"/>
      <c r="J27" s="87"/>
      <c r="K27" s="34" t="s">
        <v>65</v>
      </c>
      <c r="L27" s="103">
        <v>27</v>
      </c>
      <c r="M27" s="103"/>
      <c r="N27" s="89"/>
      <c r="O27" s="64" t="s">
        <v>183</v>
      </c>
      <c r="P27" s="110">
        <v>45182.656273148146</v>
      </c>
      <c r="Q27" s="64" t="s">
        <v>984</v>
      </c>
      <c r="R27" s="111" t="str">
        <f>HYPERLINK("https://fb.watch/n1ACdhDEkQ/?mibextid=qC1gEa")</f>
        <v>https://fb.watch/n1ACdhDEkQ/?mibextid=qC1gEa</v>
      </c>
      <c r="S27" s="64" t="s">
        <v>1086</v>
      </c>
      <c r="T27" s="64"/>
      <c r="U27" s="110">
        <v>45182.656273148146</v>
      </c>
      <c r="V27" s="111" t="str">
        <f>HYPERLINK("https://twitter.com/jeremyl12866/status/1701985347515654565")</f>
        <v>https://twitter.com/jeremyl12866/status/1701985347515654565</v>
      </c>
      <c r="W27" s="64"/>
      <c r="X27" s="64"/>
      <c r="Y27" s="136" t="s">
        <v>1296</v>
      </c>
      <c r="Z27" s="64"/>
      <c r="AA27" s="104">
        <v>1</v>
      </c>
      <c r="AB27" s="105"/>
      <c r="AC27" s="106"/>
      <c r="AD27" s="105"/>
      <c r="AE27" s="106"/>
      <c r="AF27" s="105"/>
      <c r="AG27" s="106"/>
      <c r="AH27" s="48">
        <v>2</v>
      </c>
      <c r="AI27" s="49">
        <v>33.333333333333336</v>
      </c>
      <c r="AJ27" s="48">
        <v>6</v>
      </c>
      <c r="AK27" s="107"/>
      <c r="AL27" s="111" t="str">
        <f>HYPERLINK("https://pbs.twimg.com/profile_images/1679937749871149101/2IUyEG_L_normal.jpg")</f>
        <v>https://pbs.twimg.com/profile_images/1679937749871149101/2IUyEG_L_normal.jpg</v>
      </c>
      <c r="AM27" s="64"/>
      <c r="AN27" s="64">
        <v>0</v>
      </c>
      <c r="AO27" s="64"/>
      <c r="AP27" s="64"/>
      <c r="AQ27" s="64" t="s">
        <v>1154</v>
      </c>
      <c r="AR27" s="64" t="b">
        <v>0</v>
      </c>
      <c r="AS27" s="136" t="s">
        <v>691</v>
      </c>
      <c r="AT27" s="64"/>
      <c r="AU27" s="64">
        <v>0</v>
      </c>
      <c r="AV27" s="136" t="s">
        <v>691</v>
      </c>
      <c r="AW27" s="136" t="s">
        <v>1149</v>
      </c>
      <c r="AX27" s="64"/>
      <c r="AY27" s="136" t="s">
        <v>1296</v>
      </c>
      <c r="AZ27" s="64"/>
      <c r="BA27" s="64"/>
      <c r="BB27" s="64"/>
      <c r="BC27" s="64"/>
      <c r="BD27" s="64"/>
      <c r="BE27" s="64"/>
      <c r="BF27" s="64"/>
      <c r="BG27" s="64"/>
      <c r="BH27" s="64"/>
      <c r="BI27" s="64"/>
      <c r="BJ27" s="64"/>
      <c r="BK27" s="63" t="str">
        <f>REPLACE(INDEX(GroupVertices[Group],MATCH(Edges[[#This Row],[Vertex 1]],GroupVertices[Vertex],0)),1,1,"")</f>
        <v>14</v>
      </c>
      <c r="BL27" s="63" t="str">
        <f>REPLACE(INDEX(GroupVertices[Group],MATCH(Edges[[#This Row],[Vertex 2]],GroupVertices[Vertex],0)),1,1,"")</f>
        <v>14</v>
      </c>
      <c r="BM27" s="137">
        <v>45182</v>
      </c>
      <c r="BN27" s="138" t="s">
        <v>1173</v>
      </c>
      <c r="BO27" s="48">
        <v>0</v>
      </c>
      <c r="BP27" s="49">
        <v>0</v>
      </c>
      <c r="BQ27" s="48">
        <v>0</v>
      </c>
      <c r="BR27" s="49">
        <v>0</v>
      </c>
      <c r="BS27" s="48">
        <v>0</v>
      </c>
      <c r="BT27" s="49">
        <v>0</v>
      </c>
      <c r="BU27" s="107">
        <v>0</v>
      </c>
      <c r="BV27" s="64">
        <v>0</v>
      </c>
      <c r="BW27" s="64">
        <v>2</v>
      </c>
      <c r="BX27" s="64"/>
      <c r="BY27" s="64"/>
      <c r="BZ27" s="64"/>
      <c r="CA27" s="64"/>
      <c r="CB27" s="64"/>
      <c r="CC27" s="64"/>
      <c r="CD27" s="64"/>
      <c r="CE27" s="64"/>
      <c r="CF27" s="64"/>
      <c r="CG27" s="64"/>
      <c r="CH27" s="64"/>
      <c r="CI27" s="64"/>
      <c r="CJ27" s="64"/>
      <c r="CK27" s="136" t="s">
        <v>1296</v>
      </c>
      <c r="CL27" s="64"/>
      <c r="CM27" s="136" t="s">
        <v>691</v>
      </c>
      <c r="CN27" s="136" t="s">
        <v>1430</v>
      </c>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row>
    <row r="28" spans="1:128" ht="15">
      <c r="A28" s="62" t="s">
        <v>912</v>
      </c>
      <c r="B28" s="62" t="s">
        <v>952</v>
      </c>
      <c r="C28" s="78" t="s">
        <v>900</v>
      </c>
      <c r="D28" s="84">
        <v>7.5</v>
      </c>
      <c r="E28" s="85" t="s">
        <v>135</v>
      </c>
      <c r="F28" s="86">
        <v>15.23076923076923</v>
      </c>
      <c r="G28" s="78"/>
      <c r="H28" s="70"/>
      <c r="I28" s="87"/>
      <c r="J28" s="87"/>
      <c r="K28" s="34" t="s">
        <v>65</v>
      </c>
      <c r="L28" s="103">
        <v>28</v>
      </c>
      <c r="M28" s="103"/>
      <c r="N28" s="89"/>
      <c r="O28" s="64" t="s">
        <v>966</v>
      </c>
      <c r="P28" s="110">
        <v>45176.686956018515</v>
      </c>
      <c r="Q28" s="64" t="s">
        <v>985</v>
      </c>
      <c r="R28" s="64"/>
      <c r="S28" s="64"/>
      <c r="T28" s="64"/>
      <c r="U28" s="110">
        <v>45176.686956018515</v>
      </c>
      <c r="V28" s="111" t="str">
        <f>HYPERLINK("https://twitter.com/jeremyl21457481/status/1699822139606786431")</f>
        <v>https://twitter.com/jeremyl21457481/status/1699822139606786431</v>
      </c>
      <c r="W28" s="64"/>
      <c r="X28" s="64"/>
      <c r="Y28" s="136" t="s">
        <v>1297</v>
      </c>
      <c r="Z28" s="64"/>
      <c r="AA28" s="104">
        <v>2</v>
      </c>
      <c r="AB28" s="105"/>
      <c r="AC28" s="106"/>
      <c r="AD28" s="105"/>
      <c r="AE28" s="106"/>
      <c r="AF28" s="105"/>
      <c r="AG28" s="106"/>
      <c r="AH28" s="48">
        <v>4</v>
      </c>
      <c r="AI28" s="49">
        <v>30.76923076923077</v>
      </c>
      <c r="AJ28" s="48">
        <v>13</v>
      </c>
      <c r="AK28" s="107"/>
      <c r="AL28" s="111" t="str">
        <f>HYPERLINK("https://pbs.twimg.com/profile_images/1513373213803544577/K_sgK4wm_normal.jpg")</f>
        <v>https://pbs.twimg.com/profile_images/1513373213803544577/K_sgK4wm_normal.jpg</v>
      </c>
      <c r="AM28" s="64"/>
      <c r="AN28" s="64">
        <v>1</v>
      </c>
      <c r="AO28" s="64"/>
      <c r="AP28" s="64"/>
      <c r="AQ28" s="64" t="s">
        <v>1154</v>
      </c>
      <c r="AR28" s="64"/>
      <c r="AS28" s="136" t="s">
        <v>691</v>
      </c>
      <c r="AT28" s="64"/>
      <c r="AU28" s="64">
        <v>0</v>
      </c>
      <c r="AV28" s="136" t="s">
        <v>691</v>
      </c>
      <c r="AW28" s="136" t="s">
        <v>1149</v>
      </c>
      <c r="AX28" s="64"/>
      <c r="AY28" s="136" t="s">
        <v>1390</v>
      </c>
      <c r="AZ28" s="64"/>
      <c r="BA28" s="64"/>
      <c r="BB28" s="64"/>
      <c r="BC28" s="64"/>
      <c r="BD28" s="64"/>
      <c r="BE28" s="64"/>
      <c r="BF28" s="64"/>
      <c r="BG28" s="64"/>
      <c r="BH28" s="64"/>
      <c r="BI28" s="64"/>
      <c r="BJ28" s="64"/>
      <c r="BK28" s="63" t="str">
        <f>REPLACE(INDEX(GroupVertices[Group],MATCH(Edges[[#This Row],[Vertex 1]],GroupVertices[Vertex],0)),1,1,"")</f>
        <v>4</v>
      </c>
      <c r="BL28" s="63" t="str">
        <f>REPLACE(INDEX(GroupVertices[Group],MATCH(Edges[[#This Row],[Vertex 2]],GroupVertices[Vertex],0)),1,1,"")</f>
        <v>4</v>
      </c>
      <c r="BM28" s="137">
        <v>45176</v>
      </c>
      <c r="BN28" s="138" t="s">
        <v>1174</v>
      </c>
      <c r="BO28" s="48">
        <v>0</v>
      </c>
      <c r="BP28" s="49">
        <v>0</v>
      </c>
      <c r="BQ28" s="48">
        <v>0</v>
      </c>
      <c r="BR28" s="49">
        <v>0</v>
      </c>
      <c r="BS28" s="48">
        <v>0</v>
      </c>
      <c r="BT28" s="49">
        <v>0</v>
      </c>
      <c r="BU28" s="107">
        <v>0</v>
      </c>
      <c r="BV28" s="64">
        <v>0</v>
      </c>
      <c r="BW28" s="64">
        <v>4</v>
      </c>
      <c r="BX28" s="64" t="s">
        <v>952</v>
      </c>
      <c r="BY28" s="64"/>
      <c r="BZ28" s="64"/>
      <c r="CA28" s="64"/>
      <c r="CB28" s="64"/>
      <c r="CC28" s="64"/>
      <c r="CD28" s="64"/>
      <c r="CE28" s="64"/>
      <c r="CF28" s="64"/>
      <c r="CG28" s="64"/>
      <c r="CH28" s="64"/>
      <c r="CI28" s="64"/>
      <c r="CJ28" s="64"/>
      <c r="CK28" s="136" t="s">
        <v>1390</v>
      </c>
      <c r="CL28" s="136" t="s">
        <v>1406</v>
      </c>
      <c r="CM28" s="136" t="s">
        <v>1390</v>
      </c>
      <c r="CN28" s="136" t="s">
        <v>1431</v>
      </c>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row>
    <row r="29" spans="1:128" ht="15">
      <c r="A29" s="62" t="s">
        <v>912</v>
      </c>
      <c r="B29" s="62" t="s">
        <v>952</v>
      </c>
      <c r="C29" s="78" t="s">
        <v>900</v>
      </c>
      <c r="D29" s="84">
        <v>7.5</v>
      </c>
      <c r="E29" s="85" t="s">
        <v>135</v>
      </c>
      <c r="F29" s="86">
        <v>15.23076923076923</v>
      </c>
      <c r="G29" s="78"/>
      <c r="H29" s="70"/>
      <c r="I29" s="87"/>
      <c r="J29" s="87"/>
      <c r="K29" s="34" t="s">
        <v>65</v>
      </c>
      <c r="L29" s="103">
        <v>29</v>
      </c>
      <c r="M29" s="103"/>
      <c r="N29" s="89"/>
      <c r="O29" s="64" t="s">
        <v>966</v>
      </c>
      <c r="P29" s="110">
        <v>45176.680914351855</v>
      </c>
      <c r="Q29" s="64" t="s">
        <v>986</v>
      </c>
      <c r="R29" s="64"/>
      <c r="S29" s="64"/>
      <c r="T29" s="64"/>
      <c r="U29" s="110">
        <v>45176.680914351855</v>
      </c>
      <c r="V29" s="111" t="str">
        <f>HYPERLINK("https://twitter.com/jeremyl21457481/status/1699819950528139337")</f>
        <v>https://twitter.com/jeremyl21457481/status/1699819950528139337</v>
      </c>
      <c r="W29" s="64"/>
      <c r="X29" s="64"/>
      <c r="Y29" s="136" t="s">
        <v>1298</v>
      </c>
      <c r="Z29" s="64"/>
      <c r="AA29" s="104">
        <v>2</v>
      </c>
      <c r="AB29" s="105"/>
      <c r="AC29" s="106"/>
      <c r="AD29" s="105"/>
      <c r="AE29" s="106"/>
      <c r="AF29" s="105"/>
      <c r="AG29" s="106"/>
      <c r="AH29" s="48">
        <v>4</v>
      </c>
      <c r="AI29" s="49">
        <v>36.36363636363637</v>
      </c>
      <c r="AJ29" s="48">
        <v>11</v>
      </c>
      <c r="AK29" s="107"/>
      <c r="AL29" s="111" t="str">
        <f>HYPERLINK("https://pbs.twimg.com/profile_images/1513373213803544577/K_sgK4wm_normal.jpg")</f>
        <v>https://pbs.twimg.com/profile_images/1513373213803544577/K_sgK4wm_normal.jpg</v>
      </c>
      <c r="AM29" s="64"/>
      <c r="AN29" s="64">
        <v>1</v>
      </c>
      <c r="AO29" s="64"/>
      <c r="AP29" s="64"/>
      <c r="AQ29" s="64" t="s">
        <v>1154</v>
      </c>
      <c r="AR29" s="64"/>
      <c r="AS29" s="136" t="s">
        <v>691</v>
      </c>
      <c r="AT29" s="64"/>
      <c r="AU29" s="64">
        <v>0</v>
      </c>
      <c r="AV29" s="136" t="s">
        <v>691</v>
      </c>
      <c r="AW29" s="136" t="s">
        <v>1149</v>
      </c>
      <c r="AX29" s="64"/>
      <c r="AY29" s="136" t="s">
        <v>1391</v>
      </c>
      <c r="AZ29" s="64"/>
      <c r="BA29" s="64"/>
      <c r="BB29" s="64"/>
      <c r="BC29" s="64"/>
      <c r="BD29" s="64"/>
      <c r="BE29" s="64"/>
      <c r="BF29" s="64"/>
      <c r="BG29" s="64"/>
      <c r="BH29" s="64"/>
      <c r="BI29" s="64"/>
      <c r="BJ29" s="64"/>
      <c r="BK29" s="63" t="str">
        <f>REPLACE(INDEX(GroupVertices[Group],MATCH(Edges[[#This Row],[Vertex 1]],GroupVertices[Vertex],0)),1,1,"")</f>
        <v>4</v>
      </c>
      <c r="BL29" s="63" t="str">
        <f>REPLACE(INDEX(GroupVertices[Group],MATCH(Edges[[#This Row],[Vertex 2]],GroupVertices[Vertex],0)),1,1,"")</f>
        <v>4</v>
      </c>
      <c r="BM29" s="137">
        <v>45176</v>
      </c>
      <c r="BN29" s="138" t="s">
        <v>1175</v>
      </c>
      <c r="BO29" s="48">
        <v>0</v>
      </c>
      <c r="BP29" s="49">
        <v>0</v>
      </c>
      <c r="BQ29" s="48">
        <v>0</v>
      </c>
      <c r="BR29" s="49">
        <v>0</v>
      </c>
      <c r="BS29" s="48">
        <v>0</v>
      </c>
      <c r="BT29" s="49">
        <v>0</v>
      </c>
      <c r="BU29" s="107">
        <v>0</v>
      </c>
      <c r="BV29" s="64">
        <v>0</v>
      </c>
      <c r="BW29" s="64">
        <v>3</v>
      </c>
      <c r="BX29" s="64" t="s">
        <v>952</v>
      </c>
      <c r="BY29" s="64"/>
      <c r="BZ29" s="64"/>
      <c r="CA29" s="64"/>
      <c r="CB29" s="64"/>
      <c r="CC29" s="64"/>
      <c r="CD29" s="64"/>
      <c r="CE29" s="64"/>
      <c r="CF29" s="64"/>
      <c r="CG29" s="64"/>
      <c r="CH29" s="64"/>
      <c r="CI29" s="64"/>
      <c r="CJ29" s="64"/>
      <c r="CK29" s="136" t="s">
        <v>1391</v>
      </c>
      <c r="CL29" s="136" t="s">
        <v>1406</v>
      </c>
      <c r="CM29" s="136" t="s">
        <v>1391</v>
      </c>
      <c r="CN29" s="136" t="s">
        <v>1431</v>
      </c>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row>
    <row r="30" spans="1:128" ht="15">
      <c r="A30" s="62" t="s">
        <v>913</v>
      </c>
      <c r="B30" s="62" t="s">
        <v>913</v>
      </c>
      <c r="C30" s="78" t="s">
        <v>714</v>
      </c>
      <c r="D30" s="84">
        <v>5</v>
      </c>
      <c r="E30" s="85" t="s">
        <v>131</v>
      </c>
      <c r="F30" s="86">
        <v>16</v>
      </c>
      <c r="G30" s="78"/>
      <c r="H30" s="70"/>
      <c r="I30" s="87"/>
      <c r="J30" s="87"/>
      <c r="K30" s="34" t="s">
        <v>65</v>
      </c>
      <c r="L30" s="103">
        <v>30</v>
      </c>
      <c r="M30" s="103"/>
      <c r="N30" s="89"/>
      <c r="O30" s="64" t="s">
        <v>183</v>
      </c>
      <c r="P30" s="110">
        <v>45178.083402777775</v>
      </c>
      <c r="Q30" s="64" t="s">
        <v>987</v>
      </c>
      <c r="R30" s="111" t="str">
        <f>HYPERLINK("https://49rs.co/44LIh3Q")</f>
        <v>https://49rs.co/44LIh3Q</v>
      </c>
      <c r="S30" s="64" t="s">
        <v>1087</v>
      </c>
      <c r="T30" s="64"/>
      <c r="U30" s="110">
        <v>45178.083402777775</v>
      </c>
      <c r="V30" s="111" t="str">
        <f>HYPERLINK("https://twitter.com/49ers/status/1700328193222476182")</f>
        <v>https://twitter.com/49ers/status/1700328193222476182</v>
      </c>
      <c r="W30" s="64"/>
      <c r="X30" s="64"/>
      <c r="Y30" s="136" t="s">
        <v>1299</v>
      </c>
      <c r="Z30" s="64"/>
      <c r="AA30" s="104">
        <v>1</v>
      </c>
      <c r="AB30" s="105"/>
      <c r="AC30" s="106"/>
      <c r="AD30" s="105"/>
      <c r="AE30" s="106"/>
      <c r="AF30" s="105"/>
      <c r="AG30" s="106"/>
      <c r="AH30" s="48">
        <v>9</v>
      </c>
      <c r="AI30" s="49">
        <v>60</v>
      </c>
      <c r="AJ30" s="48">
        <v>15</v>
      </c>
      <c r="AK30" s="107" t="s">
        <v>1123</v>
      </c>
      <c r="AL30" s="111" t="str">
        <f>HYPERLINK("https://pbs.twimg.com/media/F5jHd_JaMAAQo1G.jpg")</f>
        <v>https://pbs.twimg.com/media/F5jHd_JaMAAQo1G.jpg</v>
      </c>
      <c r="AM30" s="64"/>
      <c r="AN30" s="64">
        <v>4768</v>
      </c>
      <c r="AO30" s="64"/>
      <c r="AP30" s="64"/>
      <c r="AQ30" s="64" t="s">
        <v>1154</v>
      </c>
      <c r="AR30" s="64" t="b">
        <v>0</v>
      </c>
      <c r="AS30" s="136" t="s">
        <v>691</v>
      </c>
      <c r="AT30" s="64"/>
      <c r="AU30" s="64">
        <v>3832</v>
      </c>
      <c r="AV30" s="136" t="s">
        <v>691</v>
      </c>
      <c r="AW30" s="136" t="s">
        <v>1151</v>
      </c>
      <c r="AX30" s="64"/>
      <c r="AY30" s="136" t="s">
        <v>1299</v>
      </c>
      <c r="AZ30" s="64"/>
      <c r="BA30" s="64"/>
      <c r="BB30" s="64"/>
      <c r="BC30" s="64"/>
      <c r="BD30" s="64"/>
      <c r="BE30" s="64"/>
      <c r="BF30" s="64"/>
      <c r="BG30" s="64"/>
      <c r="BH30" s="64"/>
      <c r="BI30" s="64"/>
      <c r="BJ30" s="64"/>
      <c r="BK30" s="63" t="str">
        <f>REPLACE(INDEX(GroupVertices[Group],MATCH(Edges[[#This Row],[Vertex 1]],GroupVertices[Vertex],0)),1,1,"")</f>
        <v>4</v>
      </c>
      <c r="BL30" s="63" t="str">
        <f>REPLACE(INDEX(GroupVertices[Group],MATCH(Edges[[#This Row],[Vertex 2]],GroupVertices[Vertex],0)),1,1,"")</f>
        <v>4</v>
      </c>
      <c r="BM30" s="137">
        <v>45178</v>
      </c>
      <c r="BN30" s="138" t="s">
        <v>1176</v>
      </c>
      <c r="BO30" s="48">
        <v>0</v>
      </c>
      <c r="BP30" s="49">
        <v>0</v>
      </c>
      <c r="BQ30" s="48">
        <v>0</v>
      </c>
      <c r="BR30" s="49">
        <v>0</v>
      </c>
      <c r="BS30" s="48">
        <v>0</v>
      </c>
      <c r="BT30" s="49">
        <v>0</v>
      </c>
      <c r="BU30" s="107">
        <v>128</v>
      </c>
      <c r="BV30" s="64">
        <v>78</v>
      </c>
      <c r="BW30" s="64">
        <v>308949</v>
      </c>
      <c r="BX30" s="64"/>
      <c r="BY30" s="64"/>
      <c r="BZ30" s="64" t="s">
        <v>1142</v>
      </c>
      <c r="CA30" s="64"/>
      <c r="CB30" s="64"/>
      <c r="CC30" s="64"/>
      <c r="CD30" s="64" t="s">
        <v>1264</v>
      </c>
      <c r="CE30" s="64"/>
      <c r="CF30" s="64"/>
      <c r="CG30" s="64"/>
      <c r="CH30" s="64"/>
      <c r="CI30" s="64"/>
      <c r="CJ30" s="64"/>
      <c r="CK30" s="136" t="s">
        <v>1299</v>
      </c>
      <c r="CL30" s="64"/>
      <c r="CM30" s="136" t="s">
        <v>691</v>
      </c>
      <c r="CN30" s="64">
        <v>43403778</v>
      </c>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row>
    <row r="31" spans="1:128" ht="15">
      <c r="A31" s="62" t="s">
        <v>912</v>
      </c>
      <c r="B31" s="62" t="s">
        <v>913</v>
      </c>
      <c r="C31" s="78" t="s">
        <v>714</v>
      </c>
      <c r="D31" s="84">
        <v>5</v>
      </c>
      <c r="E31" s="85" t="s">
        <v>131</v>
      </c>
      <c r="F31" s="86">
        <v>16</v>
      </c>
      <c r="G31" s="78"/>
      <c r="H31" s="70"/>
      <c r="I31" s="87"/>
      <c r="J31" s="87"/>
      <c r="K31" s="34" t="s">
        <v>65</v>
      </c>
      <c r="L31" s="103">
        <v>31</v>
      </c>
      <c r="M31" s="103"/>
      <c r="N31" s="89"/>
      <c r="O31" s="64" t="s">
        <v>965</v>
      </c>
      <c r="P31" s="110">
        <v>45178.92841435185</v>
      </c>
      <c r="Q31" s="64" t="s">
        <v>988</v>
      </c>
      <c r="R31" s="111" t="str">
        <f>HYPERLINK("https://49rs.co/44LIh3Q")</f>
        <v>https://49rs.co/44LIh3Q</v>
      </c>
      <c r="S31" s="64" t="s">
        <v>1087</v>
      </c>
      <c r="T31" s="64"/>
      <c r="U31" s="110">
        <v>45178.92841435185</v>
      </c>
      <c r="V31" s="111" t="str">
        <f>HYPERLINK("https://twitter.com/jeremyl21457481/status/1700634415138001269")</f>
        <v>https://twitter.com/jeremyl21457481/status/1700634415138001269</v>
      </c>
      <c r="W31" s="64"/>
      <c r="X31" s="64"/>
      <c r="Y31" s="136" t="s">
        <v>1300</v>
      </c>
      <c r="Z31" s="64"/>
      <c r="AA31" s="104">
        <v>1</v>
      </c>
      <c r="AB31" s="105"/>
      <c r="AC31" s="106"/>
      <c r="AD31" s="105"/>
      <c r="AE31" s="106"/>
      <c r="AF31" s="105"/>
      <c r="AG31" s="106"/>
      <c r="AH31" s="48">
        <v>11</v>
      </c>
      <c r="AI31" s="49">
        <v>61.111111111111114</v>
      </c>
      <c r="AJ31" s="48">
        <v>18</v>
      </c>
      <c r="AK31" s="107"/>
      <c r="AL31" s="111" t="str">
        <f>HYPERLINK("https://pbs.twimg.com/profile_images/1513373213803544577/K_sgK4wm_normal.jpg")</f>
        <v>https://pbs.twimg.com/profile_images/1513373213803544577/K_sgK4wm_normal.jpg</v>
      </c>
      <c r="AM31" s="64"/>
      <c r="AN31" s="64">
        <v>0</v>
      </c>
      <c r="AO31" s="64"/>
      <c r="AP31" s="64"/>
      <c r="AQ31" s="64" t="s">
        <v>1154</v>
      </c>
      <c r="AR31" s="64" t="b">
        <v>0</v>
      </c>
      <c r="AS31" s="136" t="s">
        <v>691</v>
      </c>
      <c r="AT31" s="64"/>
      <c r="AU31" s="64">
        <v>3832</v>
      </c>
      <c r="AV31" s="136" t="s">
        <v>1299</v>
      </c>
      <c r="AW31" s="136" t="s">
        <v>1149</v>
      </c>
      <c r="AX31" s="64"/>
      <c r="AY31" s="136" t="s">
        <v>1299</v>
      </c>
      <c r="AZ31" s="64"/>
      <c r="BA31" s="64"/>
      <c r="BB31" s="64"/>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37">
        <v>45178</v>
      </c>
      <c r="BN31" s="138" t="s">
        <v>1177</v>
      </c>
      <c r="BO31" s="48">
        <v>0</v>
      </c>
      <c r="BP31" s="49">
        <v>0</v>
      </c>
      <c r="BQ31" s="48">
        <v>0</v>
      </c>
      <c r="BR31" s="49">
        <v>0</v>
      </c>
      <c r="BS31" s="48">
        <v>0</v>
      </c>
      <c r="BT31" s="49">
        <v>0</v>
      </c>
      <c r="BU31" s="107">
        <v>0</v>
      </c>
      <c r="BV31" s="64">
        <v>0</v>
      </c>
      <c r="BW31" s="64"/>
      <c r="BX31" s="64" t="s">
        <v>913</v>
      </c>
      <c r="BY31" s="64"/>
      <c r="BZ31" s="64"/>
      <c r="CA31" s="64"/>
      <c r="CB31" s="64"/>
      <c r="CC31" s="64"/>
      <c r="CD31" s="64"/>
      <c r="CE31" s="64"/>
      <c r="CF31" s="64"/>
      <c r="CG31" s="64"/>
      <c r="CH31" s="64"/>
      <c r="CI31" s="64"/>
      <c r="CJ31" s="64"/>
      <c r="CK31" s="136" t="s">
        <v>1300</v>
      </c>
      <c r="CL31" s="64"/>
      <c r="CM31" s="136" t="s">
        <v>691</v>
      </c>
      <c r="CN31" s="136" t="s">
        <v>1431</v>
      </c>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row>
    <row r="32" spans="1:128" ht="15">
      <c r="A32" s="62" t="s">
        <v>912</v>
      </c>
      <c r="B32" s="62" t="s">
        <v>953</v>
      </c>
      <c r="C32" s="78" t="s">
        <v>899</v>
      </c>
      <c r="D32" s="84">
        <v>10</v>
      </c>
      <c r="E32" s="85" t="s">
        <v>135</v>
      </c>
      <c r="F32" s="86">
        <v>14.461538461538462</v>
      </c>
      <c r="G32" s="78"/>
      <c r="H32" s="70"/>
      <c r="I32" s="87"/>
      <c r="J32" s="87"/>
      <c r="K32" s="34" t="s">
        <v>65</v>
      </c>
      <c r="L32" s="103">
        <v>32</v>
      </c>
      <c r="M32" s="103"/>
      <c r="N32" s="89"/>
      <c r="O32" s="64" t="s">
        <v>966</v>
      </c>
      <c r="P32" s="110">
        <v>45176.67797453704</v>
      </c>
      <c r="Q32" s="64" t="s">
        <v>989</v>
      </c>
      <c r="R32" s="64"/>
      <c r="S32" s="64"/>
      <c r="T32" s="64"/>
      <c r="U32" s="110">
        <v>45176.67797453704</v>
      </c>
      <c r="V32" s="111" t="str">
        <f>HYPERLINK("https://twitter.com/jeremyl21457481/status/1699818881525952619")</f>
        <v>https://twitter.com/jeremyl21457481/status/1699818881525952619</v>
      </c>
      <c r="W32" s="64"/>
      <c r="X32" s="64"/>
      <c r="Y32" s="136" t="s">
        <v>1301</v>
      </c>
      <c r="Z32" s="64"/>
      <c r="AA32" s="104">
        <v>3</v>
      </c>
      <c r="AB32" s="105"/>
      <c r="AC32" s="106"/>
      <c r="AD32" s="105"/>
      <c r="AE32" s="106"/>
      <c r="AF32" s="105"/>
      <c r="AG32" s="106"/>
      <c r="AH32" s="48">
        <v>11</v>
      </c>
      <c r="AI32" s="49">
        <v>64.70588235294117</v>
      </c>
      <c r="AJ32" s="48">
        <v>17</v>
      </c>
      <c r="AK32" s="107"/>
      <c r="AL32" s="111" t="str">
        <f>HYPERLINK("https://pbs.twimg.com/profile_images/1513373213803544577/K_sgK4wm_normal.jpg")</f>
        <v>https://pbs.twimg.com/profile_images/1513373213803544577/K_sgK4wm_normal.jpg</v>
      </c>
      <c r="AM32" s="64"/>
      <c r="AN32" s="64">
        <v>0</v>
      </c>
      <c r="AO32" s="64"/>
      <c r="AP32" s="64"/>
      <c r="AQ32" s="64" t="s">
        <v>1154</v>
      </c>
      <c r="AR32" s="64"/>
      <c r="AS32" s="136" t="s">
        <v>691</v>
      </c>
      <c r="AT32" s="64"/>
      <c r="AU32" s="64">
        <v>0</v>
      </c>
      <c r="AV32" s="136" t="s">
        <v>691</v>
      </c>
      <c r="AW32" s="136" t="s">
        <v>1149</v>
      </c>
      <c r="AX32" s="64"/>
      <c r="AY32" s="136" t="s">
        <v>1392</v>
      </c>
      <c r="AZ32" s="64"/>
      <c r="BA32" s="64"/>
      <c r="BB32" s="64"/>
      <c r="BC32" s="64"/>
      <c r="BD32" s="64"/>
      <c r="BE32" s="64"/>
      <c r="BF32" s="64"/>
      <c r="BG32" s="64"/>
      <c r="BH32" s="64"/>
      <c r="BI32" s="64"/>
      <c r="BJ32" s="64"/>
      <c r="BK32" s="63" t="str">
        <f>REPLACE(INDEX(GroupVertices[Group],MATCH(Edges[[#This Row],[Vertex 1]],GroupVertices[Vertex],0)),1,1,"")</f>
        <v>4</v>
      </c>
      <c r="BL32" s="63" t="str">
        <f>REPLACE(INDEX(GroupVertices[Group],MATCH(Edges[[#This Row],[Vertex 2]],GroupVertices[Vertex],0)),1,1,"")</f>
        <v>4</v>
      </c>
      <c r="BM32" s="137">
        <v>45176</v>
      </c>
      <c r="BN32" s="138" t="s">
        <v>1178</v>
      </c>
      <c r="BO32" s="48">
        <v>0</v>
      </c>
      <c r="BP32" s="49">
        <v>0</v>
      </c>
      <c r="BQ32" s="48">
        <v>0</v>
      </c>
      <c r="BR32" s="49">
        <v>0</v>
      </c>
      <c r="BS32" s="48">
        <v>0</v>
      </c>
      <c r="BT32" s="49">
        <v>0</v>
      </c>
      <c r="BU32" s="107">
        <v>0</v>
      </c>
      <c r="BV32" s="64">
        <v>0</v>
      </c>
      <c r="BW32" s="64">
        <v>1</v>
      </c>
      <c r="BX32" s="64" t="s">
        <v>953</v>
      </c>
      <c r="BY32" s="64"/>
      <c r="BZ32" s="64"/>
      <c r="CA32" s="64"/>
      <c r="CB32" s="64"/>
      <c r="CC32" s="64"/>
      <c r="CD32" s="64"/>
      <c r="CE32" s="64"/>
      <c r="CF32" s="64"/>
      <c r="CG32" s="64"/>
      <c r="CH32" s="64"/>
      <c r="CI32" s="64"/>
      <c r="CJ32" s="64"/>
      <c r="CK32" s="136" t="s">
        <v>1392</v>
      </c>
      <c r="CL32" s="136" t="s">
        <v>1407</v>
      </c>
      <c r="CM32" s="136" t="s">
        <v>1392</v>
      </c>
      <c r="CN32" s="136" t="s">
        <v>1431</v>
      </c>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row>
    <row r="33" spans="1:128" ht="15">
      <c r="A33" s="62" t="s">
        <v>912</v>
      </c>
      <c r="B33" s="62" t="s">
        <v>953</v>
      </c>
      <c r="C33" s="78" t="s">
        <v>899</v>
      </c>
      <c r="D33" s="84">
        <v>10</v>
      </c>
      <c r="E33" s="85" t="s">
        <v>135</v>
      </c>
      <c r="F33" s="86">
        <v>14.461538461538462</v>
      </c>
      <c r="G33" s="78"/>
      <c r="H33" s="70"/>
      <c r="I33" s="87"/>
      <c r="J33" s="87"/>
      <c r="K33" s="34" t="s">
        <v>65</v>
      </c>
      <c r="L33" s="103">
        <v>33</v>
      </c>
      <c r="M33" s="103"/>
      <c r="N33" s="89"/>
      <c r="O33" s="64" t="s">
        <v>966</v>
      </c>
      <c r="P33" s="110">
        <v>45176.684375</v>
      </c>
      <c r="Q33" s="64" t="s">
        <v>990</v>
      </c>
      <c r="R33" s="64"/>
      <c r="S33" s="64"/>
      <c r="T33" s="64"/>
      <c r="U33" s="110">
        <v>45176.684375</v>
      </c>
      <c r="V33" s="111" t="str">
        <f>HYPERLINK("https://twitter.com/jeremyl21457481/status/1699821204163740032")</f>
        <v>https://twitter.com/jeremyl21457481/status/1699821204163740032</v>
      </c>
      <c r="W33" s="64"/>
      <c r="X33" s="64"/>
      <c r="Y33" s="136" t="s">
        <v>1302</v>
      </c>
      <c r="Z33" s="64"/>
      <c r="AA33" s="104">
        <v>3</v>
      </c>
      <c r="AB33" s="105"/>
      <c r="AC33" s="106"/>
      <c r="AD33" s="105"/>
      <c r="AE33" s="106"/>
      <c r="AF33" s="105"/>
      <c r="AG33" s="106"/>
      <c r="AH33" s="48">
        <v>9</v>
      </c>
      <c r="AI33" s="49">
        <v>60</v>
      </c>
      <c r="AJ33" s="48">
        <v>15</v>
      </c>
      <c r="AK33" s="107"/>
      <c r="AL33" s="111" t="str">
        <f>HYPERLINK("https://pbs.twimg.com/profile_images/1513373213803544577/K_sgK4wm_normal.jpg")</f>
        <v>https://pbs.twimg.com/profile_images/1513373213803544577/K_sgK4wm_normal.jpg</v>
      </c>
      <c r="AM33" s="64"/>
      <c r="AN33" s="64">
        <v>0</v>
      </c>
      <c r="AO33" s="64"/>
      <c r="AP33" s="64"/>
      <c r="AQ33" s="64" t="s">
        <v>1154</v>
      </c>
      <c r="AR33" s="64"/>
      <c r="AS33" s="136" t="s">
        <v>691</v>
      </c>
      <c r="AT33" s="64"/>
      <c r="AU33" s="64">
        <v>0</v>
      </c>
      <c r="AV33" s="136" t="s">
        <v>691</v>
      </c>
      <c r="AW33" s="136" t="s">
        <v>1149</v>
      </c>
      <c r="AX33" s="64"/>
      <c r="AY33" s="136" t="s">
        <v>1393</v>
      </c>
      <c r="AZ33" s="64"/>
      <c r="BA33" s="64"/>
      <c r="BB33" s="64"/>
      <c r="BC33" s="64"/>
      <c r="BD33" s="64"/>
      <c r="BE33" s="64"/>
      <c r="BF33" s="64"/>
      <c r="BG33" s="64"/>
      <c r="BH33" s="64"/>
      <c r="BI33" s="64"/>
      <c r="BJ33" s="64"/>
      <c r="BK33" s="63" t="str">
        <f>REPLACE(INDEX(GroupVertices[Group],MATCH(Edges[[#This Row],[Vertex 1]],GroupVertices[Vertex],0)),1,1,"")</f>
        <v>4</v>
      </c>
      <c r="BL33" s="63" t="str">
        <f>REPLACE(INDEX(GroupVertices[Group],MATCH(Edges[[#This Row],[Vertex 2]],GroupVertices[Vertex],0)),1,1,"")</f>
        <v>4</v>
      </c>
      <c r="BM33" s="137">
        <v>45176</v>
      </c>
      <c r="BN33" s="138" t="s">
        <v>1179</v>
      </c>
      <c r="BO33" s="48">
        <v>0</v>
      </c>
      <c r="BP33" s="49">
        <v>0</v>
      </c>
      <c r="BQ33" s="48">
        <v>0</v>
      </c>
      <c r="BR33" s="49">
        <v>0</v>
      </c>
      <c r="BS33" s="48">
        <v>0</v>
      </c>
      <c r="BT33" s="49">
        <v>0</v>
      </c>
      <c r="BU33" s="107">
        <v>0</v>
      </c>
      <c r="BV33" s="64">
        <v>0</v>
      </c>
      <c r="BW33" s="64">
        <v>1</v>
      </c>
      <c r="BX33" s="64" t="s">
        <v>953</v>
      </c>
      <c r="BY33" s="64"/>
      <c r="BZ33" s="64"/>
      <c r="CA33" s="64"/>
      <c r="CB33" s="64"/>
      <c r="CC33" s="64"/>
      <c r="CD33" s="64"/>
      <c r="CE33" s="64"/>
      <c r="CF33" s="64"/>
      <c r="CG33" s="64"/>
      <c r="CH33" s="64"/>
      <c r="CI33" s="64"/>
      <c r="CJ33" s="64"/>
      <c r="CK33" s="136" t="s">
        <v>1393</v>
      </c>
      <c r="CL33" s="136" t="s">
        <v>1407</v>
      </c>
      <c r="CM33" s="136" t="s">
        <v>1393</v>
      </c>
      <c r="CN33" s="136" t="s">
        <v>1431</v>
      </c>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row>
    <row r="34" spans="1:128" ht="15">
      <c r="A34" s="62" t="s">
        <v>912</v>
      </c>
      <c r="B34" s="62" t="s">
        <v>953</v>
      </c>
      <c r="C34" s="78" t="s">
        <v>899</v>
      </c>
      <c r="D34" s="84">
        <v>10</v>
      </c>
      <c r="E34" s="85" t="s">
        <v>135</v>
      </c>
      <c r="F34" s="86">
        <v>14.461538461538462</v>
      </c>
      <c r="G34" s="78"/>
      <c r="H34" s="70"/>
      <c r="I34" s="87"/>
      <c r="J34" s="87"/>
      <c r="K34" s="34" t="s">
        <v>65</v>
      </c>
      <c r="L34" s="103">
        <v>34</v>
      </c>
      <c r="M34" s="103"/>
      <c r="N34" s="89"/>
      <c r="O34" s="64" t="s">
        <v>966</v>
      </c>
      <c r="P34" s="110">
        <v>45176.68262731482</v>
      </c>
      <c r="Q34" s="64" t="s">
        <v>991</v>
      </c>
      <c r="R34" s="64"/>
      <c r="S34" s="64"/>
      <c r="T34" s="64"/>
      <c r="U34" s="110">
        <v>45176.68262731482</v>
      </c>
      <c r="V34" s="111" t="str">
        <f>HYPERLINK("https://twitter.com/jeremyl21457481/status/1699820569196433560")</f>
        <v>https://twitter.com/jeremyl21457481/status/1699820569196433560</v>
      </c>
      <c r="W34" s="64"/>
      <c r="X34" s="64"/>
      <c r="Y34" s="136" t="s">
        <v>1303</v>
      </c>
      <c r="Z34" s="64"/>
      <c r="AA34" s="104">
        <v>3</v>
      </c>
      <c r="AB34" s="105"/>
      <c r="AC34" s="106"/>
      <c r="AD34" s="105"/>
      <c r="AE34" s="106"/>
      <c r="AF34" s="105"/>
      <c r="AG34" s="106"/>
      <c r="AH34" s="48">
        <v>2</v>
      </c>
      <c r="AI34" s="49">
        <v>100</v>
      </c>
      <c r="AJ34" s="48">
        <v>2</v>
      </c>
      <c r="AK34" s="107"/>
      <c r="AL34" s="111" t="str">
        <f>HYPERLINK("https://pbs.twimg.com/profile_images/1513373213803544577/K_sgK4wm_normal.jpg")</f>
        <v>https://pbs.twimg.com/profile_images/1513373213803544577/K_sgK4wm_normal.jpg</v>
      </c>
      <c r="AM34" s="64"/>
      <c r="AN34" s="64">
        <v>0</v>
      </c>
      <c r="AO34" s="64"/>
      <c r="AP34" s="64"/>
      <c r="AQ34" s="64" t="s">
        <v>1158</v>
      </c>
      <c r="AR34" s="64"/>
      <c r="AS34" s="136" t="s">
        <v>691</v>
      </c>
      <c r="AT34" s="64"/>
      <c r="AU34" s="64">
        <v>0</v>
      </c>
      <c r="AV34" s="136" t="s">
        <v>691</v>
      </c>
      <c r="AW34" s="136" t="s">
        <v>1149</v>
      </c>
      <c r="AX34" s="64"/>
      <c r="AY34" s="136" t="s">
        <v>1394</v>
      </c>
      <c r="AZ34" s="64"/>
      <c r="BA34" s="64"/>
      <c r="BB34" s="64"/>
      <c r="BC34" s="64"/>
      <c r="BD34" s="64"/>
      <c r="BE34" s="64"/>
      <c r="BF34" s="64"/>
      <c r="BG34" s="64"/>
      <c r="BH34" s="64"/>
      <c r="BI34" s="64"/>
      <c r="BJ34" s="64"/>
      <c r="BK34" s="63" t="str">
        <f>REPLACE(INDEX(GroupVertices[Group],MATCH(Edges[[#This Row],[Vertex 1]],GroupVertices[Vertex],0)),1,1,"")</f>
        <v>4</v>
      </c>
      <c r="BL34" s="63" t="str">
        <f>REPLACE(INDEX(GroupVertices[Group],MATCH(Edges[[#This Row],[Vertex 2]],GroupVertices[Vertex],0)),1,1,"")</f>
        <v>4</v>
      </c>
      <c r="BM34" s="137">
        <v>45176</v>
      </c>
      <c r="BN34" s="138" t="s">
        <v>1180</v>
      </c>
      <c r="BO34" s="48">
        <v>0</v>
      </c>
      <c r="BP34" s="49">
        <v>0</v>
      </c>
      <c r="BQ34" s="48">
        <v>0</v>
      </c>
      <c r="BR34" s="49">
        <v>0</v>
      </c>
      <c r="BS34" s="48">
        <v>0</v>
      </c>
      <c r="BT34" s="49">
        <v>0</v>
      </c>
      <c r="BU34" s="107">
        <v>0</v>
      </c>
      <c r="BV34" s="64">
        <v>0</v>
      </c>
      <c r="BW34" s="64">
        <v>1</v>
      </c>
      <c r="BX34" s="64" t="s">
        <v>953</v>
      </c>
      <c r="BY34" s="64"/>
      <c r="BZ34" s="64"/>
      <c r="CA34" s="64"/>
      <c r="CB34" s="64"/>
      <c r="CC34" s="64"/>
      <c r="CD34" s="64"/>
      <c r="CE34" s="64"/>
      <c r="CF34" s="64"/>
      <c r="CG34" s="64"/>
      <c r="CH34" s="64"/>
      <c r="CI34" s="64"/>
      <c r="CJ34" s="64"/>
      <c r="CK34" s="136" t="s">
        <v>1394</v>
      </c>
      <c r="CL34" s="136" t="s">
        <v>1407</v>
      </c>
      <c r="CM34" s="136" t="s">
        <v>1394</v>
      </c>
      <c r="CN34" s="136" t="s">
        <v>1431</v>
      </c>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row>
    <row r="35" spans="1:128" ht="15">
      <c r="A35" s="62" t="s">
        <v>912</v>
      </c>
      <c r="B35" s="62" t="s">
        <v>914</v>
      </c>
      <c r="C35" s="78" t="s">
        <v>714</v>
      </c>
      <c r="D35" s="84">
        <v>5</v>
      </c>
      <c r="E35" s="85" t="s">
        <v>131</v>
      </c>
      <c r="F35" s="86">
        <v>16</v>
      </c>
      <c r="G35" s="78"/>
      <c r="H35" s="70"/>
      <c r="I35" s="87"/>
      <c r="J35" s="87"/>
      <c r="K35" s="34" t="s">
        <v>65</v>
      </c>
      <c r="L35" s="103">
        <v>35</v>
      </c>
      <c r="M35" s="103"/>
      <c r="N35" s="89"/>
      <c r="O35" s="64" t="s">
        <v>965</v>
      </c>
      <c r="P35" s="110">
        <v>45180.10658564815</v>
      </c>
      <c r="Q35" s="64" t="s">
        <v>992</v>
      </c>
      <c r="R35" s="64"/>
      <c r="S35" s="64"/>
      <c r="T35" s="64"/>
      <c r="U35" s="110">
        <v>45180.10658564815</v>
      </c>
      <c r="V35" s="111" t="str">
        <f>HYPERLINK("https://twitter.com/jeremyl21457481/status/1701061370777879000")</f>
        <v>https://twitter.com/jeremyl21457481/status/1701061370777879000</v>
      </c>
      <c r="W35" s="64"/>
      <c r="X35" s="64"/>
      <c r="Y35" s="136" t="s">
        <v>1304</v>
      </c>
      <c r="Z35" s="64"/>
      <c r="AA35" s="104">
        <v>1</v>
      </c>
      <c r="AB35" s="105"/>
      <c r="AC35" s="106"/>
      <c r="AD35" s="105"/>
      <c r="AE35" s="106"/>
      <c r="AF35" s="105"/>
      <c r="AG35" s="106"/>
      <c r="AH35" s="48">
        <v>4</v>
      </c>
      <c r="AI35" s="49">
        <v>44.44444444444444</v>
      </c>
      <c r="AJ35" s="48">
        <v>9</v>
      </c>
      <c r="AK35" s="107" t="s">
        <v>1124</v>
      </c>
      <c r="AL35" s="111" t="str">
        <f>HYPERLINK("https://pbs.twimg.com/media/F5sJj-xawAAGRPv.jpg")</f>
        <v>https://pbs.twimg.com/media/F5sJj-xawAAGRPv.jpg</v>
      </c>
      <c r="AM35" s="64"/>
      <c r="AN35" s="64">
        <v>0</v>
      </c>
      <c r="AO35" s="64"/>
      <c r="AP35" s="64"/>
      <c r="AQ35" s="64" t="s">
        <v>1154</v>
      </c>
      <c r="AR35" s="64" t="b">
        <v>0</v>
      </c>
      <c r="AS35" s="136" t="s">
        <v>691</v>
      </c>
      <c r="AT35" s="64"/>
      <c r="AU35" s="64">
        <v>420</v>
      </c>
      <c r="AV35" s="136" t="s">
        <v>1306</v>
      </c>
      <c r="AW35" s="136" t="s">
        <v>1149</v>
      </c>
      <c r="AX35" s="64"/>
      <c r="AY35" s="136" t="s">
        <v>1306</v>
      </c>
      <c r="AZ35" s="64"/>
      <c r="BA35" s="64"/>
      <c r="BB35" s="64"/>
      <c r="BC35" s="64"/>
      <c r="BD35" s="64"/>
      <c r="BE35" s="64"/>
      <c r="BF35" s="64"/>
      <c r="BG35" s="64"/>
      <c r="BH35" s="64"/>
      <c r="BI35" s="64"/>
      <c r="BJ35" s="64"/>
      <c r="BK35" s="63" t="str">
        <f>REPLACE(INDEX(GroupVertices[Group],MATCH(Edges[[#This Row],[Vertex 1]],GroupVertices[Vertex],0)),1,1,"")</f>
        <v>4</v>
      </c>
      <c r="BL35" s="63" t="str">
        <f>REPLACE(INDEX(GroupVertices[Group],MATCH(Edges[[#This Row],[Vertex 2]],GroupVertices[Vertex],0)),1,1,"")</f>
        <v>4</v>
      </c>
      <c r="BM35" s="137">
        <v>45180</v>
      </c>
      <c r="BN35" s="138" t="s">
        <v>1181</v>
      </c>
      <c r="BO35" s="48">
        <v>0</v>
      </c>
      <c r="BP35" s="49">
        <v>0</v>
      </c>
      <c r="BQ35" s="48">
        <v>0</v>
      </c>
      <c r="BR35" s="49">
        <v>0</v>
      </c>
      <c r="BS35" s="48">
        <v>0</v>
      </c>
      <c r="BT35" s="49">
        <v>0</v>
      </c>
      <c r="BU35" s="107">
        <v>0</v>
      </c>
      <c r="BV35" s="64">
        <v>0</v>
      </c>
      <c r="BW35" s="64"/>
      <c r="BX35" s="64" t="s">
        <v>914</v>
      </c>
      <c r="BY35" s="64"/>
      <c r="BZ35" s="64" t="s">
        <v>1142</v>
      </c>
      <c r="CA35" s="64"/>
      <c r="CB35" s="64"/>
      <c r="CC35" s="64"/>
      <c r="CD35" s="64" t="s">
        <v>1265</v>
      </c>
      <c r="CE35" s="64"/>
      <c r="CF35" s="64"/>
      <c r="CG35" s="64"/>
      <c r="CH35" s="64"/>
      <c r="CI35" s="64"/>
      <c r="CJ35" s="64"/>
      <c r="CK35" s="136" t="s">
        <v>1304</v>
      </c>
      <c r="CL35" s="64"/>
      <c r="CM35" s="136" t="s">
        <v>691</v>
      </c>
      <c r="CN35" s="136" t="s">
        <v>1431</v>
      </c>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row>
    <row r="36" spans="1:128" ht="15">
      <c r="A36" s="62" t="s">
        <v>912</v>
      </c>
      <c r="B36" s="62" t="s">
        <v>937</v>
      </c>
      <c r="C36" s="78" t="s">
        <v>714</v>
      </c>
      <c r="D36" s="84">
        <v>5</v>
      </c>
      <c r="E36" s="85" t="s">
        <v>131</v>
      </c>
      <c r="F36" s="86">
        <v>16</v>
      </c>
      <c r="G36" s="78"/>
      <c r="H36" s="70"/>
      <c r="I36" s="87"/>
      <c r="J36" s="87"/>
      <c r="K36" s="34" t="s">
        <v>65</v>
      </c>
      <c r="L36" s="103">
        <v>36</v>
      </c>
      <c r="M36" s="103"/>
      <c r="N36" s="89"/>
      <c r="O36" s="64" t="s">
        <v>965</v>
      </c>
      <c r="P36" s="110">
        <v>45180.106099537035</v>
      </c>
      <c r="Q36" s="64" t="s">
        <v>993</v>
      </c>
      <c r="R36" s="64"/>
      <c r="S36" s="64"/>
      <c r="T36" s="64"/>
      <c r="U36" s="110">
        <v>45180.106099537035</v>
      </c>
      <c r="V36" s="111" t="str">
        <f>HYPERLINK("https://twitter.com/jeremyl21457481/status/1701061193686040691")</f>
        <v>https://twitter.com/jeremyl21457481/status/1701061193686040691</v>
      </c>
      <c r="W36" s="64"/>
      <c r="X36" s="64"/>
      <c r="Y36" s="136" t="s">
        <v>1305</v>
      </c>
      <c r="Z36" s="64"/>
      <c r="AA36" s="104">
        <v>1</v>
      </c>
      <c r="AB36" s="105"/>
      <c r="AC36" s="106"/>
      <c r="AD36" s="105"/>
      <c r="AE36" s="106"/>
      <c r="AF36" s="105"/>
      <c r="AG36" s="106"/>
      <c r="AH36" s="48">
        <v>9</v>
      </c>
      <c r="AI36" s="49">
        <v>69.23076923076923</v>
      </c>
      <c r="AJ36" s="48">
        <v>13</v>
      </c>
      <c r="AK36" s="107" t="s">
        <v>1125</v>
      </c>
      <c r="AL36" s="111" t="str">
        <f>HYPERLINK("https://pbs.twimg.com/media/F5rsW9zWkAA3rjG.jpg")</f>
        <v>https://pbs.twimg.com/media/F5rsW9zWkAA3rjG.jpg</v>
      </c>
      <c r="AM36" s="64"/>
      <c r="AN36" s="64">
        <v>0</v>
      </c>
      <c r="AO36" s="64"/>
      <c r="AP36" s="64"/>
      <c r="AQ36" s="64" t="s">
        <v>1154</v>
      </c>
      <c r="AR36" s="64" t="b">
        <v>0</v>
      </c>
      <c r="AS36" s="136" t="s">
        <v>691</v>
      </c>
      <c r="AT36" s="64"/>
      <c r="AU36" s="64">
        <v>1183</v>
      </c>
      <c r="AV36" s="136" t="s">
        <v>1380</v>
      </c>
      <c r="AW36" s="136" t="s">
        <v>1149</v>
      </c>
      <c r="AX36" s="64"/>
      <c r="AY36" s="136" t="s">
        <v>1380</v>
      </c>
      <c r="AZ36" s="64"/>
      <c r="BA36" s="64"/>
      <c r="BB36" s="64"/>
      <c r="BC36" s="64"/>
      <c r="BD36" s="64"/>
      <c r="BE36" s="64"/>
      <c r="BF36" s="64"/>
      <c r="BG36" s="64"/>
      <c r="BH36" s="64"/>
      <c r="BI36" s="64"/>
      <c r="BJ36" s="64"/>
      <c r="BK36" s="63" t="str">
        <f>REPLACE(INDEX(GroupVertices[Group],MATCH(Edges[[#This Row],[Vertex 1]],GroupVertices[Vertex],0)),1,1,"")</f>
        <v>4</v>
      </c>
      <c r="BL36" s="63" t="str">
        <f>REPLACE(INDEX(GroupVertices[Group],MATCH(Edges[[#This Row],[Vertex 2]],GroupVertices[Vertex],0)),1,1,"")</f>
        <v>4</v>
      </c>
      <c r="BM36" s="137">
        <v>45180</v>
      </c>
      <c r="BN36" s="138" t="s">
        <v>1182</v>
      </c>
      <c r="BO36" s="48">
        <v>0</v>
      </c>
      <c r="BP36" s="49">
        <v>0</v>
      </c>
      <c r="BQ36" s="48">
        <v>0</v>
      </c>
      <c r="BR36" s="49">
        <v>0</v>
      </c>
      <c r="BS36" s="48">
        <v>0</v>
      </c>
      <c r="BT36" s="49">
        <v>0</v>
      </c>
      <c r="BU36" s="107">
        <v>0</v>
      </c>
      <c r="BV36" s="64">
        <v>0</v>
      </c>
      <c r="BW36" s="64"/>
      <c r="BX36" s="64" t="s">
        <v>937</v>
      </c>
      <c r="BY36" s="64"/>
      <c r="BZ36" s="64" t="s">
        <v>1144</v>
      </c>
      <c r="CA36" s="64"/>
      <c r="CB36" s="64"/>
      <c r="CC36" s="64"/>
      <c r="CD36" s="64" t="s">
        <v>1266</v>
      </c>
      <c r="CE36" s="64">
        <v>10347</v>
      </c>
      <c r="CF36" s="64"/>
      <c r="CG36" s="64"/>
      <c r="CH36" s="64">
        <v>255026</v>
      </c>
      <c r="CI36" s="64"/>
      <c r="CJ36" s="64"/>
      <c r="CK36" s="136" t="s">
        <v>1305</v>
      </c>
      <c r="CL36" s="64"/>
      <c r="CM36" s="136" t="s">
        <v>691</v>
      </c>
      <c r="CN36" s="136" t="s">
        <v>1431</v>
      </c>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row>
    <row r="37" spans="1:128" ht="15">
      <c r="A37" s="62" t="s">
        <v>914</v>
      </c>
      <c r="B37" s="62" t="s">
        <v>914</v>
      </c>
      <c r="C37" s="78" t="s">
        <v>714</v>
      </c>
      <c r="D37" s="84">
        <v>5</v>
      </c>
      <c r="E37" s="85" t="s">
        <v>131</v>
      </c>
      <c r="F37" s="86">
        <v>16</v>
      </c>
      <c r="G37" s="78"/>
      <c r="H37" s="70"/>
      <c r="I37" s="87"/>
      <c r="J37" s="87"/>
      <c r="K37" s="34" t="s">
        <v>65</v>
      </c>
      <c r="L37" s="103">
        <v>37</v>
      </c>
      <c r="M37" s="103"/>
      <c r="N37" s="89"/>
      <c r="O37" s="64" t="s">
        <v>183</v>
      </c>
      <c r="P37" s="110">
        <v>45179.84013888889</v>
      </c>
      <c r="Q37" s="64" t="s">
        <v>994</v>
      </c>
      <c r="R37" s="64"/>
      <c r="S37" s="64"/>
      <c r="T37" s="64"/>
      <c r="U37" s="110">
        <v>45179.84013888889</v>
      </c>
      <c r="V37" s="111" t="str">
        <f>HYPERLINK("https://twitter.com/nbcs49ers/status/1700964815139938757")</f>
        <v>https://twitter.com/nbcs49ers/status/1700964815139938757</v>
      </c>
      <c r="W37" s="64"/>
      <c r="X37" s="64"/>
      <c r="Y37" s="136" t="s">
        <v>1306</v>
      </c>
      <c r="Z37" s="64"/>
      <c r="AA37" s="104">
        <v>1</v>
      </c>
      <c r="AB37" s="105"/>
      <c r="AC37" s="106"/>
      <c r="AD37" s="105"/>
      <c r="AE37" s="106"/>
      <c r="AF37" s="105"/>
      <c r="AG37" s="106"/>
      <c r="AH37" s="48">
        <v>3</v>
      </c>
      <c r="AI37" s="49">
        <v>42.857142857142854</v>
      </c>
      <c r="AJ37" s="48">
        <v>7</v>
      </c>
      <c r="AK37" s="107" t="s">
        <v>1124</v>
      </c>
      <c r="AL37" s="111" t="str">
        <f>HYPERLINK("https://pbs.twimg.com/media/F5sJj-xawAAGRPv.jpg")</f>
        <v>https://pbs.twimg.com/media/F5sJj-xawAAGRPv.jpg</v>
      </c>
      <c r="AM37" s="64"/>
      <c r="AN37" s="64">
        <v>3186</v>
      </c>
      <c r="AO37" s="64"/>
      <c r="AP37" s="64"/>
      <c r="AQ37" s="64" t="s">
        <v>1154</v>
      </c>
      <c r="AR37" s="64" t="b">
        <v>0</v>
      </c>
      <c r="AS37" s="136" t="s">
        <v>691</v>
      </c>
      <c r="AT37" s="64"/>
      <c r="AU37" s="64">
        <v>420</v>
      </c>
      <c r="AV37" s="136" t="s">
        <v>691</v>
      </c>
      <c r="AW37" s="136" t="s">
        <v>1152</v>
      </c>
      <c r="AX37" s="64"/>
      <c r="AY37" s="136" t="s">
        <v>1306</v>
      </c>
      <c r="AZ37" s="64"/>
      <c r="BA37" s="64"/>
      <c r="BB37" s="64"/>
      <c r="BC37" s="64"/>
      <c r="BD37" s="64"/>
      <c r="BE37" s="64"/>
      <c r="BF37" s="64"/>
      <c r="BG37" s="64"/>
      <c r="BH37" s="64"/>
      <c r="BI37" s="64"/>
      <c r="BJ37" s="64"/>
      <c r="BK37" s="63" t="str">
        <f>REPLACE(INDEX(GroupVertices[Group],MATCH(Edges[[#This Row],[Vertex 1]],GroupVertices[Vertex],0)),1,1,"")</f>
        <v>4</v>
      </c>
      <c r="BL37" s="63" t="str">
        <f>REPLACE(INDEX(GroupVertices[Group],MATCH(Edges[[#This Row],[Vertex 2]],GroupVertices[Vertex],0)),1,1,"")</f>
        <v>4</v>
      </c>
      <c r="BM37" s="137">
        <v>45179</v>
      </c>
      <c r="BN37" s="138" t="s">
        <v>1183</v>
      </c>
      <c r="BO37" s="48">
        <v>0</v>
      </c>
      <c r="BP37" s="49">
        <v>0</v>
      </c>
      <c r="BQ37" s="48">
        <v>0</v>
      </c>
      <c r="BR37" s="49">
        <v>0</v>
      </c>
      <c r="BS37" s="48">
        <v>0</v>
      </c>
      <c r="BT37" s="49">
        <v>0</v>
      </c>
      <c r="BU37" s="107">
        <v>18</v>
      </c>
      <c r="BV37" s="64">
        <v>26</v>
      </c>
      <c r="BW37" s="64">
        <v>67493</v>
      </c>
      <c r="BX37" s="64"/>
      <c r="BY37" s="64"/>
      <c r="BZ37" s="64" t="s">
        <v>1142</v>
      </c>
      <c r="CA37" s="64"/>
      <c r="CB37" s="64"/>
      <c r="CC37" s="64"/>
      <c r="CD37" s="64" t="s">
        <v>1265</v>
      </c>
      <c r="CE37" s="64"/>
      <c r="CF37" s="64"/>
      <c r="CG37" s="64"/>
      <c r="CH37" s="64"/>
      <c r="CI37" s="64"/>
      <c r="CJ37" s="64"/>
      <c r="CK37" s="136" t="s">
        <v>1306</v>
      </c>
      <c r="CL37" s="64"/>
      <c r="CM37" s="136" t="s">
        <v>691</v>
      </c>
      <c r="CN37" s="64">
        <v>66758174</v>
      </c>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row>
    <row r="38" spans="1:128" ht="15">
      <c r="A38" s="62" t="s">
        <v>915</v>
      </c>
      <c r="B38" s="62" t="s">
        <v>954</v>
      </c>
      <c r="C38" s="78" t="s">
        <v>714</v>
      </c>
      <c r="D38" s="84">
        <v>5</v>
      </c>
      <c r="E38" s="85" t="s">
        <v>131</v>
      </c>
      <c r="F38" s="86">
        <v>16</v>
      </c>
      <c r="G38" s="78"/>
      <c r="H38" s="70"/>
      <c r="I38" s="87"/>
      <c r="J38" s="87"/>
      <c r="K38" s="34" t="s">
        <v>65</v>
      </c>
      <c r="L38" s="103">
        <v>38</v>
      </c>
      <c r="M38" s="103"/>
      <c r="N38" s="89"/>
      <c r="O38" s="64" t="s">
        <v>968</v>
      </c>
      <c r="P38" s="110">
        <v>45181.390856481485</v>
      </c>
      <c r="Q38" s="64" t="s">
        <v>995</v>
      </c>
      <c r="R38" s="111" t="str">
        <f>HYPERLINK("https://x.com/ManonAubryFr/status/1701521575512608784?s=20")</f>
        <v>https://x.com/ManonAubryFr/status/1701521575512608784?s=20</v>
      </c>
      <c r="S38" s="64" t="s">
        <v>1088</v>
      </c>
      <c r="T38" s="64"/>
      <c r="U38" s="110">
        <v>45181.390856481485</v>
      </c>
      <c r="V38" s="111" t="str">
        <f>HYPERLINK("https://twitter.com/nassimretiere/status/1701526775195374055")</f>
        <v>https://twitter.com/nassimretiere/status/1701526775195374055</v>
      </c>
      <c r="W38" s="64"/>
      <c r="X38" s="64"/>
      <c r="Y38" s="136" t="s">
        <v>1307</v>
      </c>
      <c r="Z38" s="64"/>
      <c r="AA38" s="104">
        <v>1</v>
      </c>
      <c r="AB38" s="105"/>
      <c r="AC38" s="106"/>
      <c r="AD38" s="105"/>
      <c r="AE38" s="106"/>
      <c r="AF38" s="105"/>
      <c r="AG38" s="106"/>
      <c r="AH38" s="48">
        <v>2</v>
      </c>
      <c r="AI38" s="49">
        <v>100</v>
      </c>
      <c r="AJ38" s="48">
        <v>2</v>
      </c>
      <c r="AK38" s="107"/>
      <c r="AL38" s="111" t="str">
        <f>HYPERLINK("https://pbs.twimg.com/profile_images/1673635551541428224/F1spWyZM_normal.jpg")</f>
        <v>https://pbs.twimg.com/profile_images/1673635551541428224/F1spWyZM_normal.jpg</v>
      </c>
      <c r="AM38" s="64"/>
      <c r="AN38" s="64">
        <v>0</v>
      </c>
      <c r="AO38" s="64"/>
      <c r="AP38" s="64"/>
      <c r="AQ38" s="64" t="s">
        <v>1159</v>
      </c>
      <c r="AR38" s="64" t="b">
        <v>0</v>
      </c>
      <c r="AS38" s="136" t="s">
        <v>691</v>
      </c>
      <c r="AT38" s="64"/>
      <c r="AU38" s="64">
        <v>1</v>
      </c>
      <c r="AV38" s="136" t="s">
        <v>691</v>
      </c>
      <c r="AW38" s="136" t="s">
        <v>1148</v>
      </c>
      <c r="AX38" s="64"/>
      <c r="AY38" s="136" t="s">
        <v>1307</v>
      </c>
      <c r="AZ38" s="64"/>
      <c r="BA38" s="64"/>
      <c r="BB38" s="64"/>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45181</v>
      </c>
      <c r="BN38" s="138" t="s">
        <v>1184</v>
      </c>
      <c r="BO38" s="48">
        <v>0</v>
      </c>
      <c r="BP38" s="49">
        <v>0</v>
      </c>
      <c r="BQ38" s="48">
        <v>0</v>
      </c>
      <c r="BR38" s="49">
        <v>0</v>
      </c>
      <c r="BS38" s="48">
        <v>0</v>
      </c>
      <c r="BT38" s="49">
        <v>0</v>
      </c>
      <c r="BU38" s="107">
        <v>0</v>
      </c>
      <c r="BV38" s="64">
        <v>0</v>
      </c>
      <c r="BW38" s="64">
        <v>4</v>
      </c>
      <c r="BX38" s="64" t="s">
        <v>1107</v>
      </c>
      <c r="BY38" s="64"/>
      <c r="BZ38" s="64"/>
      <c r="CA38" s="64"/>
      <c r="CB38" s="64"/>
      <c r="CC38" s="64"/>
      <c r="CD38" s="64"/>
      <c r="CE38" s="64"/>
      <c r="CF38" s="64"/>
      <c r="CG38" s="64"/>
      <c r="CH38" s="64"/>
      <c r="CI38" s="64"/>
      <c r="CJ38" s="64"/>
      <c r="CK38" s="136" t="s">
        <v>1307</v>
      </c>
      <c r="CL38" s="64"/>
      <c r="CM38" s="136" t="s">
        <v>691</v>
      </c>
      <c r="CN38" s="64">
        <v>466698672</v>
      </c>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row>
    <row r="39" spans="1:128" ht="15">
      <c r="A39" s="62" t="s">
        <v>915</v>
      </c>
      <c r="B39" s="62" t="s">
        <v>954</v>
      </c>
      <c r="C39" s="78" t="s">
        <v>714</v>
      </c>
      <c r="D39" s="84">
        <v>5</v>
      </c>
      <c r="E39" s="85" t="s">
        <v>131</v>
      </c>
      <c r="F39" s="86">
        <v>16</v>
      </c>
      <c r="G39" s="78"/>
      <c r="H39" s="70"/>
      <c r="I39" s="87"/>
      <c r="J39" s="87"/>
      <c r="K39" s="34" t="s">
        <v>65</v>
      </c>
      <c r="L39" s="103">
        <v>39</v>
      </c>
      <c r="M39" s="103"/>
      <c r="N39" s="89"/>
      <c r="O39" s="64" t="s">
        <v>970</v>
      </c>
      <c r="P39" s="110">
        <v>45181.416666666664</v>
      </c>
      <c r="Q39" s="64" t="s">
        <v>996</v>
      </c>
      <c r="R39" s="111" t="str">
        <f>HYPERLINK("https://x.com/ManonAubryFr/status/1701521575512608784?s=20")</f>
        <v>https://x.com/ManonAubryFr/status/1701521575512608784?s=20</v>
      </c>
      <c r="S39" s="64" t="s">
        <v>1088</v>
      </c>
      <c r="T39" s="64"/>
      <c r="U39" s="110">
        <v>45181.416666666664</v>
      </c>
      <c r="V39" s="111" t="str">
        <f>HYPERLINK("https://twitter.com/nassimretiere/status/1701536127222419469")</f>
        <v>https://twitter.com/nassimretiere/status/1701536127222419469</v>
      </c>
      <c r="W39" s="64"/>
      <c r="X39" s="64"/>
      <c r="Y39" s="136" t="s">
        <v>1308</v>
      </c>
      <c r="Z39" s="64"/>
      <c r="AA39" s="104">
        <v>1</v>
      </c>
      <c r="AB39" s="105"/>
      <c r="AC39" s="106"/>
      <c r="AD39" s="105"/>
      <c r="AE39" s="106"/>
      <c r="AF39" s="105"/>
      <c r="AG39" s="106"/>
      <c r="AH39" s="48">
        <v>3</v>
      </c>
      <c r="AI39" s="49">
        <v>75</v>
      </c>
      <c r="AJ39" s="48">
        <v>4</v>
      </c>
      <c r="AK39" s="107"/>
      <c r="AL39" s="111" t="str">
        <f>HYPERLINK("https://pbs.twimg.com/profile_images/1673635551541428224/F1spWyZM_normal.jpg")</f>
        <v>https://pbs.twimg.com/profile_images/1673635551541428224/F1spWyZM_normal.jpg</v>
      </c>
      <c r="AM39" s="64"/>
      <c r="AN39" s="64">
        <v>0</v>
      </c>
      <c r="AO39" s="64"/>
      <c r="AP39" s="64"/>
      <c r="AQ39" s="64" t="s">
        <v>1159</v>
      </c>
      <c r="AR39" s="64" t="b">
        <v>0</v>
      </c>
      <c r="AS39" s="136" t="s">
        <v>691</v>
      </c>
      <c r="AT39" s="64"/>
      <c r="AU39" s="64">
        <v>1</v>
      </c>
      <c r="AV39" s="136" t="s">
        <v>1307</v>
      </c>
      <c r="AW39" s="136" t="s">
        <v>1148</v>
      </c>
      <c r="AX39" s="64"/>
      <c r="AY39" s="136" t="s">
        <v>1307</v>
      </c>
      <c r="AZ39" s="64"/>
      <c r="BA39" s="64"/>
      <c r="BB39" s="64"/>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37">
        <v>45181</v>
      </c>
      <c r="BN39" s="138" t="s">
        <v>1185</v>
      </c>
      <c r="BO39" s="48">
        <v>0</v>
      </c>
      <c r="BP39" s="49">
        <v>0</v>
      </c>
      <c r="BQ39" s="48">
        <v>0</v>
      </c>
      <c r="BR39" s="49">
        <v>0</v>
      </c>
      <c r="BS39" s="48">
        <v>0</v>
      </c>
      <c r="BT39" s="49">
        <v>0</v>
      </c>
      <c r="BU39" s="107">
        <v>0</v>
      </c>
      <c r="BV39" s="64">
        <v>0</v>
      </c>
      <c r="BW39" s="64"/>
      <c r="BX39" s="64" t="s">
        <v>1108</v>
      </c>
      <c r="BY39" s="64"/>
      <c r="BZ39" s="64"/>
      <c r="CA39" s="64"/>
      <c r="CB39" s="64"/>
      <c r="CC39" s="64"/>
      <c r="CD39" s="64"/>
      <c r="CE39" s="64"/>
      <c r="CF39" s="64"/>
      <c r="CG39" s="64"/>
      <c r="CH39" s="64"/>
      <c r="CI39" s="64"/>
      <c r="CJ39" s="64"/>
      <c r="CK39" s="136" t="s">
        <v>1308</v>
      </c>
      <c r="CL39" s="64"/>
      <c r="CM39" s="136" t="s">
        <v>691</v>
      </c>
      <c r="CN39" s="64">
        <v>466698672</v>
      </c>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row>
    <row r="40" spans="1:128" ht="15">
      <c r="A40" s="62" t="s">
        <v>915</v>
      </c>
      <c r="B40" s="62" t="s">
        <v>333</v>
      </c>
      <c r="C40" s="78" t="s">
        <v>714</v>
      </c>
      <c r="D40" s="84">
        <v>5</v>
      </c>
      <c r="E40" s="85" t="s">
        <v>131</v>
      </c>
      <c r="F40" s="86">
        <v>16</v>
      </c>
      <c r="G40" s="78"/>
      <c r="H40" s="70"/>
      <c r="I40" s="87"/>
      <c r="J40" s="87"/>
      <c r="K40" s="34" t="s">
        <v>65</v>
      </c>
      <c r="L40" s="103">
        <v>40</v>
      </c>
      <c r="M40" s="103"/>
      <c r="N40" s="89"/>
      <c r="O40" s="64" t="s">
        <v>968</v>
      </c>
      <c r="P40" s="110">
        <v>45181.390856481485</v>
      </c>
      <c r="Q40" s="64" t="s">
        <v>995</v>
      </c>
      <c r="R40" s="111" t="str">
        <f>HYPERLINK("https://x.com/ManonAubryFr/status/1701521575512608784?s=20")</f>
        <v>https://x.com/ManonAubryFr/status/1701521575512608784?s=20</v>
      </c>
      <c r="S40" s="64" t="s">
        <v>1088</v>
      </c>
      <c r="T40" s="64"/>
      <c r="U40" s="110">
        <v>45181.390856481485</v>
      </c>
      <c r="V40" s="111" t="str">
        <f>HYPERLINK("https://twitter.com/nassimretiere/status/1701526775195374055")</f>
        <v>https://twitter.com/nassimretiere/status/1701526775195374055</v>
      </c>
      <c r="W40" s="64"/>
      <c r="X40" s="64"/>
      <c r="Y40" s="136" t="s">
        <v>1307</v>
      </c>
      <c r="Z40" s="64"/>
      <c r="AA40" s="104">
        <v>1</v>
      </c>
      <c r="AB40" s="105"/>
      <c r="AC40" s="106"/>
      <c r="AD40" s="105"/>
      <c r="AE40" s="106"/>
      <c r="AF40" s="105"/>
      <c r="AG40" s="106"/>
      <c r="AH40" s="48"/>
      <c r="AI40" s="49"/>
      <c r="AJ40" s="48"/>
      <c r="AK40" s="107"/>
      <c r="AL40" s="111" t="str">
        <f>HYPERLINK("https://pbs.twimg.com/profile_images/1673635551541428224/F1spWyZM_normal.jpg")</f>
        <v>https://pbs.twimg.com/profile_images/1673635551541428224/F1spWyZM_normal.jpg</v>
      </c>
      <c r="AM40" s="64"/>
      <c r="AN40" s="64">
        <v>0</v>
      </c>
      <c r="AO40" s="64"/>
      <c r="AP40" s="64"/>
      <c r="AQ40" s="64" t="s">
        <v>1159</v>
      </c>
      <c r="AR40" s="64" t="b">
        <v>0</v>
      </c>
      <c r="AS40" s="136" t="s">
        <v>691</v>
      </c>
      <c r="AT40" s="64"/>
      <c r="AU40" s="64">
        <v>1</v>
      </c>
      <c r="AV40" s="136" t="s">
        <v>691</v>
      </c>
      <c r="AW40" s="136" t="s">
        <v>1148</v>
      </c>
      <c r="AX40" s="64"/>
      <c r="AY40" s="136" t="s">
        <v>1307</v>
      </c>
      <c r="AZ40" s="64"/>
      <c r="BA40" s="64"/>
      <c r="BB40" s="64"/>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37">
        <v>45181</v>
      </c>
      <c r="BN40" s="138" t="s">
        <v>1184</v>
      </c>
      <c r="BO40" s="48"/>
      <c r="BP40" s="49"/>
      <c r="BQ40" s="48"/>
      <c r="BR40" s="49"/>
      <c r="BS40" s="48"/>
      <c r="BT40" s="49"/>
      <c r="BU40" s="107">
        <v>0</v>
      </c>
      <c r="BV40" s="64">
        <v>0</v>
      </c>
      <c r="BW40" s="64">
        <v>4</v>
      </c>
      <c r="BX40" s="64" t="s">
        <v>1107</v>
      </c>
      <c r="BY40" s="64"/>
      <c r="BZ40" s="64"/>
      <c r="CA40" s="64"/>
      <c r="CB40" s="64"/>
      <c r="CC40" s="64"/>
      <c r="CD40" s="64"/>
      <c r="CE40" s="64"/>
      <c r="CF40" s="64"/>
      <c r="CG40" s="64"/>
      <c r="CH40" s="64"/>
      <c r="CI40" s="64"/>
      <c r="CJ40" s="64"/>
      <c r="CK40" s="136" t="s">
        <v>1307</v>
      </c>
      <c r="CL40" s="64"/>
      <c r="CM40" s="136" t="s">
        <v>691</v>
      </c>
      <c r="CN40" s="64">
        <v>466698672</v>
      </c>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row>
    <row r="41" spans="1:128" ht="15">
      <c r="A41" s="62" t="s">
        <v>915</v>
      </c>
      <c r="B41" s="62" t="s">
        <v>333</v>
      </c>
      <c r="C41" s="78" t="s">
        <v>714</v>
      </c>
      <c r="D41" s="84">
        <v>5</v>
      </c>
      <c r="E41" s="85" t="s">
        <v>131</v>
      </c>
      <c r="F41" s="86">
        <v>16</v>
      </c>
      <c r="G41" s="78"/>
      <c r="H41" s="70"/>
      <c r="I41" s="87"/>
      <c r="J41" s="87"/>
      <c r="K41" s="34" t="s">
        <v>65</v>
      </c>
      <c r="L41" s="103">
        <v>41</v>
      </c>
      <c r="M41" s="103"/>
      <c r="N41" s="89"/>
      <c r="O41" s="64" t="s">
        <v>970</v>
      </c>
      <c r="P41" s="110">
        <v>45181.416666666664</v>
      </c>
      <c r="Q41" s="64" t="s">
        <v>996</v>
      </c>
      <c r="R41" s="111" t="str">
        <f>HYPERLINK("https://x.com/ManonAubryFr/status/1701521575512608784?s=20")</f>
        <v>https://x.com/ManonAubryFr/status/1701521575512608784?s=20</v>
      </c>
      <c r="S41" s="64" t="s">
        <v>1088</v>
      </c>
      <c r="T41" s="64"/>
      <c r="U41" s="110">
        <v>45181.416666666664</v>
      </c>
      <c r="V41" s="111" t="str">
        <f>HYPERLINK("https://twitter.com/nassimretiere/status/1701536127222419469")</f>
        <v>https://twitter.com/nassimretiere/status/1701536127222419469</v>
      </c>
      <c r="W41" s="64"/>
      <c r="X41" s="64"/>
      <c r="Y41" s="136" t="s">
        <v>1308</v>
      </c>
      <c r="Z41" s="64"/>
      <c r="AA41" s="104">
        <v>1</v>
      </c>
      <c r="AB41" s="105"/>
      <c r="AC41" s="106"/>
      <c r="AD41" s="105"/>
      <c r="AE41" s="106"/>
      <c r="AF41" s="105"/>
      <c r="AG41" s="106"/>
      <c r="AH41" s="48"/>
      <c r="AI41" s="49"/>
      <c r="AJ41" s="48"/>
      <c r="AK41" s="107"/>
      <c r="AL41" s="111" t="str">
        <f>HYPERLINK("https://pbs.twimg.com/profile_images/1673635551541428224/F1spWyZM_normal.jpg")</f>
        <v>https://pbs.twimg.com/profile_images/1673635551541428224/F1spWyZM_normal.jpg</v>
      </c>
      <c r="AM41" s="64"/>
      <c r="AN41" s="64">
        <v>0</v>
      </c>
      <c r="AO41" s="64"/>
      <c r="AP41" s="64"/>
      <c r="AQ41" s="64" t="s">
        <v>1159</v>
      </c>
      <c r="AR41" s="64" t="b">
        <v>0</v>
      </c>
      <c r="AS41" s="136" t="s">
        <v>691</v>
      </c>
      <c r="AT41" s="64"/>
      <c r="AU41" s="64">
        <v>1</v>
      </c>
      <c r="AV41" s="136" t="s">
        <v>1307</v>
      </c>
      <c r="AW41" s="136" t="s">
        <v>1148</v>
      </c>
      <c r="AX41" s="64"/>
      <c r="AY41" s="136" t="s">
        <v>1307</v>
      </c>
      <c r="AZ41" s="64"/>
      <c r="BA41" s="64"/>
      <c r="BB41" s="64"/>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c r="BM41" s="137">
        <v>45181</v>
      </c>
      <c r="BN41" s="138" t="s">
        <v>1185</v>
      </c>
      <c r="BO41" s="48"/>
      <c r="BP41" s="49"/>
      <c r="BQ41" s="48"/>
      <c r="BR41" s="49"/>
      <c r="BS41" s="48"/>
      <c r="BT41" s="49"/>
      <c r="BU41" s="107">
        <v>0</v>
      </c>
      <c r="BV41" s="64">
        <v>0</v>
      </c>
      <c r="BW41" s="64"/>
      <c r="BX41" s="64" t="s">
        <v>1108</v>
      </c>
      <c r="BY41" s="64"/>
      <c r="BZ41" s="64"/>
      <c r="CA41" s="64"/>
      <c r="CB41" s="64"/>
      <c r="CC41" s="64"/>
      <c r="CD41" s="64"/>
      <c r="CE41" s="64"/>
      <c r="CF41" s="64"/>
      <c r="CG41" s="64"/>
      <c r="CH41" s="64"/>
      <c r="CI41" s="64"/>
      <c r="CJ41" s="64"/>
      <c r="CK41" s="136" t="s">
        <v>1308</v>
      </c>
      <c r="CL41" s="64"/>
      <c r="CM41" s="136" t="s">
        <v>691</v>
      </c>
      <c r="CN41" s="64">
        <v>466698672</v>
      </c>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row>
    <row r="42" spans="1:128" ht="15">
      <c r="A42" s="62" t="s">
        <v>915</v>
      </c>
      <c r="B42" s="62" t="s">
        <v>915</v>
      </c>
      <c r="C42" s="78" t="s">
        <v>714</v>
      </c>
      <c r="D42" s="84">
        <v>5</v>
      </c>
      <c r="E42" s="85" t="s">
        <v>131</v>
      </c>
      <c r="F42" s="86">
        <v>16</v>
      </c>
      <c r="G42" s="78"/>
      <c r="H42" s="70"/>
      <c r="I42" s="87"/>
      <c r="J42" s="87"/>
      <c r="K42" s="34" t="s">
        <v>65</v>
      </c>
      <c r="L42" s="103">
        <v>42</v>
      </c>
      <c r="M42" s="103"/>
      <c r="N42" s="89"/>
      <c r="O42" s="64" t="s">
        <v>965</v>
      </c>
      <c r="P42" s="110">
        <v>45181.416666666664</v>
      </c>
      <c r="Q42" s="64" t="s">
        <v>996</v>
      </c>
      <c r="R42" s="111" t="str">
        <f>HYPERLINK("https://x.com/ManonAubryFr/status/1701521575512608784?s=20")</f>
        <v>https://x.com/ManonAubryFr/status/1701521575512608784?s=20</v>
      </c>
      <c r="S42" s="64" t="s">
        <v>1088</v>
      </c>
      <c r="T42" s="64"/>
      <c r="U42" s="110">
        <v>45181.416666666664</v>
      </c>
      <c r="V42" s="111" t="str">
        <f>HYPERLINK("https://twitter.com/nassimretiere/status/1701536127222419469")</f>
        <v>https://twitter.com/nassimretiere/status/1701536127222419469</v>
      </c>
      <c r="W42" s="64"/>
      <c r="X42" s="64"/>
      <c r="Y42" s="136" t="s">
        <v>1308</v>
      </c>
      <c r="Z42" s="64"/>
      <c r="AA42" s="104">
        <v>1</v>
      </c>
      <c r="AB42" s="105"/>
      <c r="AC42" s="106"/>
      <c r="AD42" s="105"/>
      <c r="AE42" s="106"/>
      <c r="AF42" s="105"/>
      <c r="AG42" s="106"/>
      <c r="AH42" s="48"/>
      <c r="AI42" s="49"/>
      <c r="AJ42" s="48"/>
      <c r="AK42" s="107"/>
      <c r="AL42" s="111" t="str">
        <f>HYPERLINK("https://pbs.twimg.com/profile_images/1673635551541428224/F1spWyZM_normal.jpg")</f>
        <v>https://pbs.twimg.com/profile_images/1673635551541428224/F1spWyZM_normal.jpg</v>
      </c>
      <c r="AM42" s="64"/>
      <c r="AN42" s="64">
        <v>0</v>
      </c>
      <c r="AO42" s="64"/>
      <c r="AP42" s="64"/>
      <c r="AQ42" s="64" t="s">
        <v>1159</v>
      </c>
      <c r="AR42" s="64" t="b">
        <v>0</v>
      </c>
      <c r="AS42" s="136" t="s">
        <v>691</v>
      </c>
      <c r="AT42" s="64"/>
      <c r="AU42" s="64">
        <v>1</v>
      </c>
      <c r="AV42" s="136" t="s">
        <v>1307</v>
      </c>
      <c r="AW42" s="136" t="s">
        <v>1148</v>
      </c>
      <c r="AX42" s="64"/>
      <c r="AY42" s="136" t="s">
        <v>1307</v>
      </c>
      <c r="AZ42" s="64"/>
      <c r="BA42" s="64"/>
      <c r="BB42" s="64"/>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45181</v>
      </c>
      <c r="BN42" s="138" t="s">
        <v>1185</v>
      </c>
      <c r="BO42" s="48"/>
      <c r="BP42" s="49"/>
      <c r="BQ42" s="48"/>
      <c r="BR42" s="49"/>
      <c r="BS42" s="48"/>
      <c r="BT42" s="49"/>
      <c r="BU42" s="107">
        <v>0</v>
      </c>
      <c r="BV42" s="64">
        <v>0</v>
      </c>
      <c r="BW42" s="64"/>
      <c r="BX42" s="64" t="s">
        <v>1108</v>
      </c>
      <c r="BY42" s="64"/>
      <c r="BZ42" s="64"/>
      <c r="CA42" s="64"/>
      <c r="CB42" s="64"/>
      <c r="CC42" s="64"/>
      <c r="CD42" s="64"/>
      <c r="CE42" s="64"/>
      <c r="CF42" s="64"/>
      <c r="CG42" s="64"/>
      <c r="CH42" s="64"/>
      <c r="CI42" s="64"/>
      <c r="CJ42" s="64"/>
      <c r="CK42" s="136" t="s">
        <v>1308</v>
      </c>
      <c r="CL42" s="64"/>
      <c r="CM42" s="136" t="s">
        <v>691</v>
      </c>
      <c r="CN42" s="64">
        <v>466698672</v>
      </c>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row>
    <row r="43" spans="1:128" ht="15">
      <c r="A43" s="62" t="s">
        <v>916</v>
      </c>
      <c r="B43" s="62" t="s">
        <v>955</v>
      </c>
      <c r="C43" s="78" t="s">
        <v>714</v>
      </c>
      <c r="D43" s="84">
        <v>5</v>
      </c>
      <c r="E43" s="85" t="s">
        <v>131</v>
      </c>
      <c r="F43" s="86">
        <v>16</v>
      </c>
      <c r="G43" s="78"/>
      <c r="H43" s="70"/>
      <c r="I43" s="87"/>
      <c r="J43" s="87"/>
      <c r="K43" s="34" t="s">
        <v>65</v>
      </c>
      <c r="L43" s="103">
        <v>43</v>
      </c>
      <c r="M43" s="103"/>
      <c r="N43" s="89"/>
      <c r="O43" s="64" t="s">
        <v>967</v>
      </c>
      <c r="P43" s="110">
        <v>45179.82809027778</v>
      </c>
      <c r="Q43" s="64" t="s">
        <v>997</v>
      </c>
      <c r="R43" s="64"/>
      <c r="S43" s="64"/>
      <c r="T43" s="64"/>
      <c r="U43" s="110">
        <v>45179.82809027778</v>
      </c>
      <c r="V43" s="111" t="str">
        <f>HYPERLINK("https://twitter.com/jeremylammert79/status/1700960445954412819")</f>
        <v>https://twitter.com/jeremylammert79/status/1700960445954412819</v>
      </c>
      <c r="W43" s="64"/>
      <c r="X43" s="64"/>
      <c r="Y43" s="136" t="s">
        <v>1309</v>
      </c>
      <c r="Z43" s="64"/>
      <c r="AA43" s="104">
        <v>1</v>
      </c>
      <c r="AB43" s="105"/>
      <c r="AC43" s="106"/>
      <c r="AD43" s="105"/>
      <c r="AE43" s="106"/>
      <c r="AF43" s="105"/>
      <c r="AG43" s="106"/>
      <c r="AH43" s="48"/>
      <c r="AI43" s="49"/>
      <c r="AJ43" s="48"/>
      <c r="AK43" s="107"/>
      <c r="AL43" s="111" t="str">
        <f>HYPERLINK("https://pbs.twimg.com/profile_images/1411764427259584516/xDJuQ_qX_normal.jpg")</f>
        <v>https://pbs.twimg.com/profile_images/1411764427259584516/xDJuQ_qX_normal.jpg</v>
      </c>
      <c r="AM43" s="64"/>
      <c r="AN43" s="64">
        <v>0</v>
      </c>
      <c r="AO43" s="64"/>
      <c r="AP43" s="64"/>
      <c r="AQ43" s="64" t="s">
        <v>1154</v>
      </c>
      <c r="AR43" s="64"/>
      <c r="AS43" s="136" t="s">
        <v>691</v>
      </c>
      <c r="AT43" s="64"/>
      <c r="AU43" s="64">
        <v>0</v>
      </c>
      <c r="AV43" s="136" t="s">
        <v>691</v>
      </c>
      <c r="AW43" s="136" t="s">
        <v>1150</v>
      </c>
      <c r="AX43" s="64"/>
      <c r="AY43" s="136" t="s">
        <v>1395</v>
      </c>
      <c r="AZ43" s="64"/>
      <c r="BA43" s="64"/>
      <c r="BB43" s="64"/>
      <c r="BC43" s="64"/>
      <c r="BD43" s="64"/>
      <c r="BE43" s="64"/>
      <c r="BF43" s="64"/>
      <c r="BG43" s="64"/>
      <c r="BH43" s="64"/>
      <c r="BI43" s="64"/>
      <c r="BJ43" s="64"/>
      <c r="BK43" s="63" t="str">
        <f>REPLACE(INDEX(GroupVertices[Group],MATCH(Edges[[#This Row],[Vertex 1]],GroupVertices[Vertex],0)),1,1,"")</f>
        <v>9</v>
      </c>
      <c r="BL43" s="63" t="str">
        <f>REPLACE(INDEX(GroupVertices[Group],MATCH(Edges[[#This Row],[Vertex 2]],GroupVertices[Vertex],0)),1,1,"")</f>
        <v>9</v>
      </c>
      <c r="BM43" s="137">
        <v>45179</v>
      </c>
      <c r="BN43" s="138" t="s">
        <v>1186</v>
      </c>
      <c r="BO43" s="48"/>
      <c r="BP43" s="49"/>
      <c r="BQ43" s="48"/>
      <c r="BR43" s="49"/>
      <c r="BS43" s="48"/>
      <c r="BT43" s="49"/>
      <c r="BU43" s="107">
        <v>0</v>
      </c>
      <c r="BV43" s="64">
        <v>0</v>
      </c>
      <c r="BW43" s="64">
        <v>618</v>
      </c>
      <c r="BX43" s="64" t="s">
        <v>1109</v>
      </c>
      <c r="BY43" s="64"/>
      <c r="BZ43" s="64"/>
      <c r="CA43" s="64"/>
      <c r="CB43" s="64"/>
      <c r="CC43" s="64"/>
      <c r="CD43" s="64"/>
      <c r="CE43" s="64"/>
      <c r="CF43" s="64"/>
      <c r="CG43" s="64"/>
      <c r="CH43" s="64"/>
      <c r="CI43" s="64"/>
      <c r="CJ43" s="64"/>
      <c r="CK43" s="136" t="s">
        <v>1395</v>
      </c>
      <c r="CL43" s="136" t="s">
        <v>1408</v>
      </c>
      <c r="CM43" s="136" t="s">
        <v>1395</v>
      </c>
      <c r="CN43" s="136" t="s">
        <v>1432</v>
      </c>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row>
    <row r="44" spans="1:128" ht="15">
      <c r="A44" s="62" t="s">
        <v>916</v>
      </c>
      <c r="B44" s="62" t="s">
        <v>956</v>
      </c>
      <c r="C44" s="78" t="s">
        <v>714</v>
      </c>
      <c r="D44" s="84">
        <v>5</v>
      </c>
      <c r="E44" s="85" t="s">
        <v>131</v>
      </c>
      <c r="F44" s="86">
        <v>16</v>
      </c>
      <c r="G44" s="78"/>
      <c r="H44" s="70"/>
      <c r="I44" s="87"/>
      <c r="J44" s="87"/>
      <c r="K44" s="34" t="s">
        <v>65</v>
      </c>
      <c r="L44" s="103">
        <v>44</v>
      </c>
      <c r="M44" s="103"/>
      <c r="N44" s="89"/>
      <c r="O44" s="64" t="s">
        <v>966</v>
      </c>
      <c r="P44" s="110">
        <v>45179.82809027778</v>
      </c>
      <c r="Q44" s="64" t="s">
        <v>997</v>
      </c>
      <c r="R44" s="64"/>
      <c r="S44" s="64"/>
      <c r="T44" s="64"/>
      <c r="U44" s="110">
        <v>45179.82809027778</v>
      </c>
      <c r="V44" s="111" t="str">
        <f>HYPERLINK("https://twitter.com/jeremylammert79/status/1700960445954412819")</f>
        <v>https://twitter.com/jeremylammert79/status/1700960445954412819</v>
      </c>
      <c r="W44" s="64"/>
      <c r="X44" s="64"/>
      <c r="Y44" s="136" t="s">
        <v>1309</v>
      </c>
      <c r="Z44" s="64"/>
      <c r="AA44" s="104">
        <v>1</v>
      </c>
      <c r="AB44" s="105"/>
      <c r="AC44" s="106"/>
      <c r="AD44" s="105"/>
      <c r="AE44" s="106"/>
      <c r="AF44" s="105"/>
      <c r="AG44" s="106"/>
      <c r="AH44" s="48">
        <v>12</v>
      </c>
      <c r="AI44" s="49">
        <v>70.58823529411765</v>
      </c>
      <c r="AJ44" s="48">
        <v>17</v>
      </c>
      <c r="AK44" s="107"/>
      <c r="AL44" s="111" t="str">
        <f>HYPERLINK("https://pbs.twimg.com/profile_images/1411764427259584516/xDJuQ_qX_normal.jpg")</f>
        <v>https://pbs.twimg.com/profile_images/1411764427259584516/xDJuQ_qX_normal.jpg</v>
      </c>
      <c r="AM44" s="64"/>
      <c r="AN44" s="64">
        <v>0</v>
      </c>
      <c r="AO44" s="64"/>
      <c r="AP44" s="64"/>
      <c r="AQ44" s="64" t="s">
        <v>1154</v>
      </c>
      <c r="AR44" s="64"/>
      <c r="AS44" s="136" t="s">
        <v>691</v>
      </c>
      <c r="AT44" s="64"/>
      <c r="AU44" s="64">
        <v>0</v>
      </c>
      <c r="AV44" s="136" t="s">
        <v>691</v>
      </c>
      <c r="AW44" s="136" t="s">
        <v>1150</v>
      </c>
      <c r="AX44" s="64"/>
      <c r="AY44" s="136" t="s">
        <v>1395</v>
      </c>
      <c r="AZ44" s="64"/>
      <c r="BA44" s="64"/>
      <c r="BB44" s="64"/>
      <c r="BC44" s="64"/>
      <c r="BD44" s="64"/>
      <c r="BE44" s="64"/>
      <c r="BF44" s="64"/>
      <c r="BG44" s="64"/>
      <c r="BH44" s="64"/>
      <c r="BI44" s="64"/>
      <c r="BJ44" s="64"/>
      <c r="BK44" s="63" t="str">
        <f>REPLACE(INDEX(GroupVertices[Group],MATCH(Edges[[#This Row],[Vertex 1]],GroupVertices[Vertex],0)),1,1,"")</f>
        <v>9</v>
      </c>
      <c r="BL44" s="63" t="str">
        <f>REPLACE(INDEX(GroupVertices[Group],MATCH(Edges[[#This Row],[Vertex 2]],GroupVertices[Vertex],0)),1,1,"")</f>
        <v>9</v>
      </c>
      <c r="BM44" s="137">
        <v>45179</v>
      </c>
      <c r="BN44" s="138" t="s">
        <v>1186</v>
      </c>
      <c r="BO44" s="48">
        <v>0</v>
      </c>
      <c r="BP44" s="49">
        <v>0</v>
      </c>
      <c r="BQ44" s="48">
        <v>0</v>
      </c>
      <c r="BR44" s="49">
        <v>0</v>
      </c>
      <c r="BS44" s="48">
        <v>0</v>
      </c>
      <c r="BT44" s="49">
        <v>0</v>
      </c>
      <c r="BU44" s="107">
        <v>0</v>
      </c>
      <c r="BV44" s="64">
        <v>0</v>
      </c>
      <c r="BW44" s="64">
        <v>618</v>
      </c>
      <c r="BX44" s="64" t="s">
        <v>1109</v>
      </c>
      <c r="BY44" s="64"/>
      <c r="BZ44" s="64"/>
      <c r="CA44" s="64"/>
      <c r="CB44" s="64"/>
      <c r="CC44" s="64"/>
      <c r="CD44" s="64"/>
      <c r="CE44" s="64"/>
      <c r="CF44" s="64"/>
      <c r="CG44" s="64"/>
      <c r="CH44" s="64"/>
      <c r="CI44" s="64"/>
      <c r="CJ44" s="64"/>
      <c r="CK44" s="136" t="s">
        <v>1395</v>
      </c>
      <c r="CL44" s="136" t="s">
        <v>1408</v>
      </c>
      <c r="CM44" s="136" t="s">
        <v>1395</v>
      </c>
      <c r="CN44" s="136" t="s">
        <v>1432</v>
      </c>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row>
    <row r="45" spans="1:128" ht="15">
      <c r="A45" s="62" t="s">
        <v>917</v>
      </c>
      <c r="B45" s="62" t="s">
        <v>917</v>
      </c>
      <c r="C45" s="78" t="s">
        <v>714</v>
      </c>
      <c r="D45" s="84">
        <v>5</v>
      </c>
      <c r="E45" s="85" t="s">
        <v>131</v>
      </c>
      <c r="F45" s="86">
        <v>16</v>
      </c>
      <c r="G45" s="78"/>
      <c r="H45" s="70"/>
      <c r="I45" s="87"/>
      <c r="J45" s="87"/>
      <c r="K45" s="34" t="s">
        <v>65</v>
      </c>
      <c r="L45" s="103">
        <v>45</v>
      </c>
      <c r="M45" s="103"/>
      <c r="N45" s="89"/>
      <c r="O45" s="64" t="s">
        <v>183</v>
      </c>
      <c r="P45" s="110">
        <v>45156.166666666664</v>
      </c>
      <c r="Q45" s="64" t="s">
        <v>998</v>
      </c>
      <c r="R45" s="111" t="str">
        <f>HYPERLINK("https://www.bitget.com/events/kcgi?utmSource=Twitter")</f>
        <v>https://www.bitget.com/events/kcgi?utmSource=Twitter</v>
      </c>
      <c r="S45" s="64" t="s">
        <v>1089</v>
      </c>
      <c r="T45" s="136" t="s">
        <v>1069</v>
      </c>
      <c r="U45" s="110">
        <v>45156.166666666664</v>
      </c>
      <c r="V45" s="111" t="str">
        <f>HYPERLINK("https://twitter.com/bitgetglobal/status/1692385833830027327")</f>
        <v>https://twitter.com/bitgetglobal/status/1692385833830027327</v>
      </c>
      <c r="W45" s="64"/>
      <c r="X45" s="64"/>
      <c r="Y45" s="136" t="s">
        <v>1310</v>
      </c>
      <c r="Z45" s="64"/>
      <c r="AA45" s="104">
        <v>1</v>
      </c>
      <c r="AB45" s="105"/>
      <c r="AC45" s="106"/>
      <c r="AD45" s="105"/>
      <c r="AE45" s="106"/>
      <c r="AF45" s="105"/>
      <c r="AG45" s="106"/>
      <c r="AH45" s="48">
        <v>21</v>
      </c>
      <c r="AI45" s="49">
        <v>72.41379310344827</v>
      </c>
      <c r="AJ45" s="48">
        <v>29</v>
      </c>
      <c r="AK45" s="107" t="s">
        <v>1126</v>
      </c>
      <c r="AL45" s="111" t="str">
        <f>HYPERLINK("https://pbs.twimg.com/ext_tw_video_thumb/1692381493501534208/pu/img/qo2j3f67wOOQxj1L.jpg")</f>
        <v>https://pbs.twimg.com/ext_tw_video_thumb/1692381493501534208/pu/img/qo2j3f67wOOQxj1L.jpg</v>
      </c>
      <c r="AM45" s="64"/>
      <c r="AN45" s="64">
        <v>64403</v>
      </c>
      <c r="AO45" s="64"/>
      <c r="AP45" s="64"/>
      <c r="AQ45" s="64" t="s">
        <v>1154</v>
      </c>
      <c r="AR45" s="64" t="b">
        <v>0</v>
      </c>
      <c r="AS45" s="136" t="s">
        <v>691</v>
      </c>
      <c r="AT45" s="64"/>
      <c r="AU45" s="64">
        <v>17862</v>
      </c>
      <c r="AV45" s="136" t="s">
        <v>691</v>
      </c>
      <c r="AW45" s="136" t="s">
        <v>1148</v>
      </c>
      <c r="AX45" s="64"/>
      <c r="AY45" s="136" t="s">
        <v>1310</v>
      </c>
      <c r="AZ45" s="64"/>
      <c r="BA45" s="64"/>
      <c r="BB45" s="64"/>
      <c r="BC45" s="64"/>
      <c r="BD45" s="64"/>
      <c r="BE45" s="64"/>
      <c r="BF45" s="64"/>
      <c r="BG45" s="64"/>
      <c r="BH45" s="64"/>
      <c r="BI45" s="64"/>
      <c r="BJ45" s="64"/>
      <c r="BK45" s="63" t="str">
        <f>REPLACE(INDEX(GroupVertices[Group],MATCH(Edges[[#This Row],[Vertex 1]],GroupVertices[Vertex],0)),1,1,"")</f>
        <v>7</v>
      </c>
      <c r="BL45" s="63" t="str">
        <f>REPLACE(INDEX(GroupVertices[Group],MATCH(Edges[[#This Row],[Vertex 2]],GroupVertices[Vertex],0)),1,1,"")</f>
        <v>7</v>
      </c>
      <c r="BM45" s="137">
        <v>45156</v>
      </c>
      <c r="BN45" s="138" t="s">
        <v>1187</v>
      </c>
      <c r="BO45" s="48">
        <v>0</v>
      </c>
      <c r="BP45" s="49">
        <v>0</v>
      </c>
      <c r="BQ45" s="48">
        <v>0</v>
      </c>
      <c r="BR45" s="49">
        <v>0</v>
      </c>
      <c r="BS45" s="48">
        <v>0</v>
      </c>
      <c r="BT45" s="49">
        <v>0</v>
      </c>
      <c r="BU45" s="107">
        <v>5203</v>
      </c>
      <c r="BV45" s="64">
        <v>148</v>
      </c>
      <c r="BW45" s="64">
        <v>93567398</v>
      </c>
      <c r="BX45" s="64"/>
      <c r="BY45" s="64"/>
      <c r="BZ45" s="64" t="s">
        <v>1144</v>
      </c>
      <c r="CA45" s="64"/>
      <c r="CB45" s="64"/>
      <c r="CC45" s="64"/>
      <c r="CD45" s="64" t="s">
        <v>1267</v>
      </c>
      <c r="CE45" s="64">
        <v>112480</v>
      </c>
      <c r="CF45" s="64"/>
      <c r="CG45" s="64"/>
      <c r="CH45" s="64">
        <v>19478648</v>
      </c>
      <c r="CI45" s="64"/>
      <c r="CJ45" s="64"/>
      <c r="CK45" s="136" t="s">
        <v>1310</v>
      </c>
      <c r="CL45" s="64"/>
      <c r="CM45" s="136" t="s">
        <v>691</v>
      </c>
      <c r="CN45" s="136" t="s">
        <v>1433</v>
      </c>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row>
    <row r="46" spans="1:128" ht="15">
      <c r="A46" s="62" t="s">
        <v>918</v>
      </c>
      <c r="B46" s="62" t="s">
        <v>917</v>
      </c>
      <c r="C46" s="78" t="s">
        <v>714</v>
      </c>
      <c r="D46" s="84">
        <v>5</v>
      </c>
      <c r="E46" s="85" t="s">
        <v>131</v>
      </c>
      <c r="F46" s="86">
        <v>16</v>
      </c>
      <c r="G46" s="78"/>
      <c r="H46" s="70"/>
      <c r="I46" s="87"/>
      <c r="J46" s="87"/>
      <c r="K46" s="34" t="s">
        <v>65</v>
      </c>
      <c r="L46" s="103">
        <v>46</v>
      </c>
      <c r="M46" s="103"/>
      <c r="N46" s="89"/>
      <c r="O46" s="64" t="s">
        <v>965</v>
      </c>
      <c r="P46" s="110">
        <v>45177.72300925926</v>
      </c>
      <c r="Q46" s="64" t="s">
        <v>999</v>
      </c>
      <c r="R46" s="64"/>
      <c r="S46" s="64"/>
      <c r="T46" s="136" t="s">
        <v>1069</v>
      </c>
      <c r="U46" s="110">
        <v>45177.72300925926</v>
      </c>
      <c r="V46" s="111" t="str">
        <f>HYPERLINK("https://twitter.com/jeremyl2p41/status/1700197591005467092")</f>
        <v>https://twitter.com/jeremyl2p41/status/1700197591005467092</v>
      </c>
      <c r="W46" s="64"/>
      <c r="X46" s="64"/>
      <c r="Y46" s="136" t="s">
        <v>1311</v>
      </c>
      <c r="Z46" s="64"/>
      <c r="AA46" s="104">
        <v>1</v>
      </c>
      <c r="AB46" s="105"/>
      <c r="AC46" s="106"/>
      <c r="AD46" s="105"/>
      <c r="AE46" s="106"/>
      <c r="AF46" s="105"/>
      <c r="AG46" s="106"/>
      <c r="AH46" s="48">
        <v>16</v>
      </c>
      <c r="AI46" s="49">
        <v>69.56521739130434</v>
      </c>
      <c r="AJ46" s="48">
        <v>23</v>
      </c>
      <c r="AK46" s="107"/>
      <c r="AL46" s="111" t="str">
        <f>HYPERLINK("https://pbs.twimg.com/profile_images/1684639612034244609/IM7wqm5e_normal.jpg")</f>
        <v>https://pbs.twimg.com/profile_images/1684639612034244609/IM7wqm5e_normal.jpg</v>
      </c>
      <c r="AM46" s="64"/>
      <c r="AN46" s="64">
        <v>0</v>
      </c>
      <c r="AO46" s="64"/>
      <c r="AP46" s="64"/>
      <c r="AQ46" s="64" t="s">
        <v>1154</v>
      </c>
      <c r="AR46" s="64"/>
      <c r="AS46" s="136" t="s">
        <v>691</v>
      </c>
      <c r="AT46" s="64"/>
      <c r="AU46" s="64">
        <v>17862</v>
      </c>
      <c r="AV46" s="136" t="s">
        <v>1310</v>
      </c>
      <c r="AW46" s="136" t="s">
        <v>1148</v>
      </c>
      <c r="AX46" s="64"/>
      <c r="AY46" s="136" t="s">
        <v>1310</v>
      </c>
      <c r="AZ46" s="64"/>
      <c r="BA46" s="64"/>
      <c r="BB46" s="64"/>
      <c r="BC46" s="64"/>
      <c r="BD46" s="64"/>
      <c r="BE46" s="64"/>
      <c r="BF46" s="64"/>
      <c r="BG46" s="64"/>
      <c r="BH46" s="64"/>
      <c r="BI46" s="64"/>
      <c r="BJ46" s="64"/>
      <c r="BK46" s="63" t="str">
        <f>REPLACE(INDEX(GroupVertices[Group],MATCH(Edges[[#This Row],[Vertex 1]],GroupVertices[Vertex],0)),1,1,"")</f>
        <v>7</v>
      </c>
      <c r="BL46" s="63" t="str">
        <f>REPLACE(INDEX(GroupVertices[Group],MATCH(Edges[[#This Row],[Vertex 2]],GroupVertices[Vertex],0)),1,1,"")</f>
        <v>7</v>
      </c>
      <c r="BM46" s="137">
        <v>45177</v>
      </c>
      <c r="BN46" s="138" t="s">
        <v>1188</v>
      </c>
      <c r="BO46" s="48">
        <v>0</v>
      </c>
      <c r="BP46" s="49">
        <v>0</v>
      </c>
      <c r="BQ46" s="48">
        <v>0</v>
      </c>
      <c r="BR46" s="49">
        <v>0</v>
      </c>
      <c r="BS46" s="48">
        <v>0</v>
      </c>
      <c r="BT46" s="49">
        <v>0</v>
      </c>
      <c r="BU46" s="107">
        <v>0</v>
      </c>
      <c r="BV46" s="64">
        <v>0</v>
      </c>
      <c r="BW46" s="64"/>
      <c r="BX46" s="64" t="s">
        <v>917</v>
      </c>
      <c r="BY46" s="64"/>
      <c r="BZ46" s="64"/>
      <c r="CA46" s="64"/>
      <c r="CB46" s="64"/>
      <c r="CC46" s="64"/>
      <c r="CD46" s="64"/>
      <c r="CE46" s="64"/>
      <c r="CF46" s="64"/>
      <c r="CG46" s="64"/>
      <c r="CH46" s="64"/>
      <c r="CI46" s="64"/>
      <c r="CJ46" s="64"/>
      <c r="CK46" s="136" t="s">
        <v>1311</v>
      </c>
      <c r="CL46" s="64"/>
      <c r="CM46" s="136" t="s">
        <v>691</v>
      </c>
      <c r="CN46" s="136" t="s">
        <v>1434</v>
      </c>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row>
    <row r="47" spans="1:128" ht="15">
      <c r="A47" s="62" t="s">
        <v>919</v>
      </c>
      <c r="B47" s="62" t="s">
        <v>919</v>
      </c>
      <c r="C47" s="78" t="s">
        <v>714</v>
      </c>
      <c r="D47" s="84">
        <v>5</v>
      </c>
      <c r="E47" s="85" t="s">
        <v>131</v>
      </c>
      <c r="F47" s="86">
        <v>16</v>
      </c>
      <c r="G47" s="78"/>
      <c r="H47" s="70"/>
      <c r="I47" s="87"/>
      <c r="J47" s="87"/>
      <c r="K47" s="34" t="s">
        <v>65</v>
      </c>
      <c r="L47" s="103">
        <v>47</v>
      </c>
      <c r="M47" s="103"/>
      <c r="N47" s="89"/>
      <c r="O47" s="64" t="s">
        <v>183</v>
      </c>
      <c r="P47" s="110">
        <v>45177.40070601852</v>
      </c>
      <c r="Q47" s="64" t="s">
        <v>1000</v>
      </c>
      <c r="R47" s="64"/>
      <c r="S47" s="64"/>
      <c r="T47" s="136" t="s">
        <v>1070</v>
      </c>
      <c r="U47" s="110">
        <v>45177.40070601852</v>
      </c>
      <c r="V47" s="111" t="str">
        <f>HYPERLINK("https://twitter.com/jiandevision/status/1700080794096853456")</f>
        <v>https://twitter.com/jiandevision/status/1700080794096853456</v>
      </c>
      <c r="W47" s="64"/>
      <c r="X47" s="64"/>
      <c r="Y47" s="136" t="s">
        <v>1312</v>
      </c>
      <c r="Z47" s="64"/>
      <c r="AA47" s="104">
        <v>1</v>
      </c>
      <c r="AB47" s="105"/>
      <c r="AC47" s="106"/>
      <c r="AD47" s="105"/>
      <c r="AE47" s="106"/>
      <c r="AF47" s="105"/>
      <c r="AG47" s="106"/>
      <c r="AH47" s="48">
        <v>29</v>
      </c>
      <c r="AI47" s="49">
        <v>65.9090909090909</v>
      </c>
      <c r="AJ47" s="48">
        <v>44</v>
      </c>
      <c r="AK47" s="107" t="s">
        <v>1127</v>
      </c>
      <c r="AL47" s="111" t="str">
        <f>HYPERLINK("https://pbs.twimg.com/media/F5fmO_GasAAYrA4.jpg")</f>
        <v>https://pbs.twimg.com/media/F5fmO_GasAAYrA4.jpg</v>
      </c>
      <c r="AM47" s="64"/>
      <c r="AN47" s="64">
        <v>201</v>
      </c>
      <c r="AO47" s="64"/>
      <c r="AP47" s="64"/>
      <c r="AQ47" s="64" t="s">
        <v>1154</v>
      </c>
      <c r="AR47" s="64" t="b">
        <v>0</v>
      </c>
      <c r="AS47" s="136" t="s">
        <v>691</v>
      </c>
      <c r="AT47" s="64"/>
      <c r="AU47" s="64">
        <v>78</v>
      </c>
      <c r="AV47" s="136" t="s">
        <v>691</v>
      </c>
      <c r="AW47" s="136" t="s">
        <v>1148</v>
      </c>
      <c r="AX47" s="64"/>
      <c r="AY47" s="136" t="s">
        <v>1312</v>
      </c>
      <c r="AZ47" s="64"/>
      <c r="BA47" s="64"/>
      <c r="BB47" s="64"/>
      <c r="BC47" s="64"/>
      <c r="BD47" s="64"/>
      <c r="BE47" s="64"/>
      <c r="BF47" s="64"/>
      <c r="BG47" s="64"/>
      <c r="BH47" s="64"/>
      <c r="BI47" s="64"/>
      <c r="BJ47" s="64"/>
      <c r="BK47" s="63" t="str">
        <f>REPLACE(INDEX(GroupVertices[Group],MATCH(Edges[[#This Row],[Vertex 1]],GroupVertices[Vertex],0)),1,1,"")</f>
        <v>7</v>
      </c>
      <c r="BL47" s="63" t="str">
        <f>REPLACE(INDEX(GroupVertices[Group],MATCH(Edges[[#This Row],[Vertex 2]],GroupVertices[Vertex],0)),1,1,"")</f>
        <v>7</v>
      </c>
      <c r="BM47" s="137">
        <v>45177</v>
      </c>
      <c r="BN47" s="138" t="s">
        <v>1189</v>
      </c>
      <c r="BO47" s="48">
        <v>0</v>
      </c>
      <c r="BP47" s="49">
        <v>0</v>
      </c>
      <c r="BQ47" s="48">
        <v>0</v>
      </c>
      <c r="BR47" s="49">
        <v>0</v>
      </c>
      <c r="BS47" s="48">
        <v>0</v>
      </c>
      <c r="BT47" s="49">
        <v>0</v>
      </c>
      <c r="BU47" s="107">
        <v>0</v>
      </c>
      <c r="BV47" s="64">
        <v>0</v>
      </c>
      <c r="BW47" s="64">
        <v>5594</v>
      </c>
      <c r="BX47" s="64"/>
      <c r="BY47" s="64"/>
      <c r="BZ47" s="64" t="s">
        <v>1145</v>
      </c>
      <c r="CA47" s="64"/>
      <c r="CB47" s="64"/>
      <c r="CC47" s="64"/>
      <c r="CD47" s="64" t="s">
        <v>1268</v>
      </c>
      <c r="CE47" s="64"/>
      <c r="CF47" s="64"/>
      <c r="CG47" s="64"/>
      <c r="CH47" s="64"/>
      <c r="CI47" s="64"/>
      <c r="CJ47" s="64"/>
      <c r="CK47" s="136" t="s">
        <v>1312</v>
      </c>
      <c r="CL47" s="64"/>
      <c r="CM47" s="136" t="s">
        <v>691</v>
      </c>
      <c r="CN47" s="136" t="s">
        <v>1435</v>
      </c>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row>
    <row r="48" spans="1:128" ht="15">
      <c r="A48" s="62" t="s">
        <v>918</v>
      </c>
      <c r="B48" s="62" t="s">
        <v>919</v>
      </c>
      <c r="C48" s="78" t="s">
        <v>714</v>
      </c>
      <c r="D48" s="84">
        <v>5</v>
      </c>
      <c r="E48" s="85" t="s">
        <v>131</v>
      </c>
      <c r="F48" s="86">
        <v>16</v>
      </c>
      <c r="G48" s="78"/>
      <c r="H48" s="70"/>
      <c r="I48" s="87"/>
      <c r="J48" s="87"/>
      <c r="K48" s="34" t="s">
        <v>65</v>
      </c>
      <c r="L48" s="103">
        <v>48</v>
      </c>
      <c r="M48" s="103"/>
      <c r="N48" s="89"/>
      <c r="O48" s="64" t="s">
        <v>965</v>
      </c>
      <c r="P48" s="110">
        <v>45177.7231712963</v>
      </c>
      <c r="Q48" s="64" t="s">
        <v>1001</v>
      </c>
      <c r="R48" s="64"/>
      <c r="S48" s="64"/>
      <c r="T48" s="136" t="s">
        <v>1071</v>
      </c>
      <c r="U48" s="110">
        <v>45177.7231712963</v>
      </c>
      <c r="V48" s="111" t="str">
        <f>HYPERLINK("https://twitter.com/jeremyl2p41/status/1700197649251709252")</f>
        <v>https://twitter.com/jeremyl2p41/status/1700197649251709252</v>
      </c>
      <c r="W48" s="64"/>
      <c r="X48" s="64"/>
      <c r="Y48" s="136" t="s">
        <v>1313</v>
      </c>
      <c r="Z48" s="64"/>
      <c r="AA48" s="104">
        <v>1</v>
      </c>
      <c r="AB48" s="105"/>
      <c r="AC48" s="106"/>
      <c r="AD48" s="105"/>
      <c r="AE48" s="106"/>
      <c r="AF48" s="105"/>
      <c r="AG48" s="106"/>
      <c r="AH48" s="48">
        <v>14</v>
      </c>
      <c r="AI48" s="49">
        <v>70</v>
      </c>
      <c r="AJ48" s="48">
        <v>20</v>
      </c>
      <c r="AK48" s="107"/>
      <c r="AL48" s="111" t="str">
        <f>HYPERLINK("https://pbs.twimg.com/profile_images/1684639612034244609/IM7wqm5e_normal.jpg")</f>
        <v>https://pbs.twimg.com/profile_images/1684639612034244609/IM7wqm5e_normal.jpg</v>
      </c>
      <c r="AM48" s="64"/>
      <c r="AN48" s="64">
        <v>0</v>
      </c>
      <c r="AO48" s="64"/>
      <c r="AP48" s="64"/>
      <c r="AQ48" s="64" t="s">
        <v>1154</v>
      </c>
      <c r="AR48" s="64"/>
      <c r="AS48" s="136" t="s">
        <v>691</v>
      </c>
      <c r="AT48" s="64"/>
      <c r="AU48" s="64">
        <v>78</v>
      </c>
      <c r="AV48" s="136" t="s">
        <v>1312</v>
      </c>
      <c r="AW48" s="136" t="s">
        <v>1148</v>
      </c>
      <c r="AX48" s="64"/>
      <c r="AY48" s="136" t="s">
        <v>1312</v>
      </c>
      <c r="AZ48" s="64"/>
      <c r="BA48" s="64"/>
      <c r="BB48" s="64"/>
      <c r="BC48" s="64"/>
      <c r="BD48" s="64"/>
      <c r="BE48" s="64"/>
      <c r="BF48" s="64"/>
      <c r="BG48" s="64"/>
      <c r="BH48" s="64"/>
      <c r="BI48" s="64"/>
      <c r="BJ48" s="64"/>
      <c r="BK48" s="63" t="str">
        <f>REPLACE(INDEX(GroupVertices[Group],MATCH(Edges[[#This Row],[Vertex 1]],GroupVertices[Vertex],0)),1,1,"")</f>
        <v>7</v>
      </c>
      <c r="BL48" s="63" t="str">
        <f>REPLACE(INDEX(GroupVertices[Group],MATCH(Edges[[#This Row],[Vertex 2]],GroupVertices[Vertex],0)),1,1,"")</f>
        <v>7</v>
      </c>
      <c r="BM48" s="137">
        <v>45177</v>
      </c>
      <c r="BN48" s="138" t="s">
        <v>1190</v>
      </c>
      <c r="BO48" s="48">
        <v>0</v>
      </c>
      <c r="BP48" s="49">
        <v>0</v>
      </c>
      <c r="BQ48" s="48">
        <v>0</v>
      </c>
      <c r="BR48" s="49">
        <v>0</v>
      </c>
      <c r="BS48" s="48">
        <v>0</v>
      </c>
      <c r="BT48" s="49">
        <v>0</v>
      </c>
      <c r="BU48" s="107">
        <v>0</v>
      </c>
      <c r="BV48" s="64">
        <v>0</v>
      </c>
      <c r="BW48" s="64"/>
      <c r="BX48" s="64" t="s">
        <v>919</v>
      </c>
      <c r="BY48" s="64"/>
      <c r="BZ48" s="64"/>
      <c r="CA48" s="64"/>
      <c r="CB48" s="64"/>
      <c r="CC48" s="64"/>
      <c r="CD48" s="64"/>
      <c r="CE48" s="64"/>
      <c r="CF48" s="64"/>
      <c r="CG48" s="64"/>
      <c r="CH48" s="64"/>
      <c r="CI48" s="64"/>
      <c r="CJ48" s="64"/>
      <c r="CK48" s="136" t="s">
        <v>1313</v>
      </c>
      <c r="CL48" s="64"/>
      <c r="CM48" s="136" t="s">
        <v>691</v>
      </c>
      <c r="CN48" s="136" t="s">
        <v>1434</v>
      </c>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row>
    <row r="49" spans="1:128" ht="15">
      <c r="A49" s="62" t="s">
        <v>918</v>
      </c>
      <c r="B49" s="62" t="s">
        <v>939</v>
      </c>
      <c r="C49" s="78" t="s">
        <v>714</v>
      </c>
      <c r="D49" s="84">
        <v>5</v>
      </c>
      <c r="E49" s="85" t="s">
        <v>131</v>
      </c>
      <c r="F49" s="86">
        <v>16</v>
      </c>
      <c r="G49" s="78"/>
      <c r="H49" s="70"/>
      <c r="I49" s="87"/>
      <c r="J49" s="87"/>
      <c r="K49" s="34" t="s">
        <v>65</v>
      </c>
      <c r="L49" s="103">
        <v>49</v>
      </c>
      <c r="M49" s="103"/>
      <c r="N49" s="89"/>
      <c r="O49" s="64" t="s">
        <v>965</v>
      </c>
      <c r="P49" s="110">
        <v>45182.323645833334</v>
      </c>
      <c r="Q49" s="64" t="s">
        <v>1002</v>
      </c>
      <c r="R49" s="64"/>
      <c r="S49" s="64"/>
      <c r="T49" s="64"/>
      <c r="U49" s="110">
        <v>45182.323645833334</v>
      </c>
      <c r="V49" s="111" t="str">
        <f>HYPERLINK("https://twitter.com/jeremyl2p41/status/1701864805521641919")</f>
        <v>https://twitter.com/jeremyl2p41/status/1701864805521641919</v>
      </c>
      <c r="W49" s="64"/>
      <c r="X49" s="64"/>
      <c r="Y49" s="136" t="s">
        <v>1314</v>
      </c>
      <c r="Z49" s="64"/>
      <c r="AA49" s="104">
        <v>1</v>
      </c>
      <c r="AB49" s="105"/>
      <c r="AC49" s="106"/>
      <c r="AD49" s="105"/>
      <c r="AE49" s="106"/>
      <c r="AF49" s="105"/>
      <c r="AG49" s="106"/>
      <c r="AH49" s="48">
        <v>13</v>
      </c>
      <c r="AI49" s="49">
        <v>68.42105263157895</v>
      </c>
      <c r="AJ49" s="48">
        <v>19</v>
      </c>
      <c r="AK49" s="107"/>
      <c r="AL49" s="111" t="str">
        <f>HYPERLINK("https://pbs.twimg.com/profile_images/1684639612034244609/IM7wqm5e_normal.jpg")</f>
        <v>https://pbs.twimg.com/profile_images/1684639612034244609/IM7wqm5e_normal.jpg</v>
      </c>
      <c r="AM49" s="64"/>
      <c r="AN49" s="64">
        <v>0</v>
      </c>
      <c r="AO49" s="64"/>
      <c r="AP49" s="64"/>
      <c r="AQ49" s="64" t="s">
        <v>1154</v>
      </c>
      <c r="AR49" s="64" t="b">
        <v>0</v>
      </c>
      <c r="AS49" s="136" t="s">
        <v>691</v>
      </c>
      <c r="AT49" s="64"/>
      <c r="AU49" s="64">
        <v>318</v>
      </c>
      <c r="AV49" s="136" t="s">
        <v>1382</v>
      </c>
      <c r="AW49" s="136" t="s">
        <v>1148</v>
      </c>
      <c r="AX49" s="64"/>
      <c r="AY49" s="136" t="s">
        <v>1382</v>
      </c>
      <c r="AZ49" s="64"/>
      <c r="BA49" s="64"/>
      <c r="BB49" s="64"/>
      <c r="BC49" s="64"/>
      <c r="BD49" s="64"/>
      <c r="BE49" s="64"/>
      <c r="BF49" s="64"/>
      <c r="BG49" s="64"/>
      <c r="BH49" s="64"/>
      <c r="BI49" s="64"/>
      <c r="BJ49" s="64"/>
      <c r="BK49" s="63" t="str">
        <f>REPLACE(INDEX(GroupVertices[Group],MATCH(Edges[[#This Row],[Vertex 1]],GroupVertices[Vertex],0)),1,1,"")</f>
        <v>7</v>
      </c>
      <c r="BL49" s="63" t="str">
        <f>REPLACE(INDEX(GroupVertices[Group],MATCH(Edges[[#This Row],[Vertex 2]],GroupVertices[Vertex],0)),1,1,"")</f>
        <v>7</v>
      </c>
      <c r="BM49" s="137">
        <v>45182</v>
      </c>
      <c r="BN49" s="138" t="s">
        <v>1191</v>
      </c>
      <c r="BO49" s="48">
        <v>0</v>
      </c>
      <c r="BP49" s="49">
        <v>0</v>
      </c>
      <c r="BQ49" s="48">
        <v>0</v>
      </c>
      <c r="BR49" s="49">
        <v>0</v>
      </c>
      <c r="BS49" s="48">
        <v>0</v>
      </c>
      <c r="BT49" s="49">
        <v>0</v>
      </c>
      <c r="BU49" s="107">
        <v>0</v>
      </c>
      <c r="BV49" s="64">
        <v>0</v>
      </c>
      <c r="BW49" s="64"/>
      <c r="BX49" s="64" t="s">
        <v>939</v>
      </c>
      <c r="BY49" s="64"/>
      <c r="BZ49" s="64"/>
      <c r="CA49" s="64"/>
      <c r="CB49" s="64"/>
      <c r="CC49" s="64"/>
      <c r="CD49" s="64"/>
      <c r="CE49" s="64"/>
      <c r="CF49" s="64"/>
      <c r="CG49" s="64"/>
      <c r="CH49" s="64"/>
      <c r="CI49" s="64"/>
      <c r="CJ49" s="64"/>
      <c r="CK49" s="136" t="s">
        <v>1314</v>
      </c>
      <c r="CL49" s="64"/>
      <c r="CM49" s="136" t="s">
        <v>691</v>
      </c>
      <c r="CN49" s="136" t="s">
        <v>1434</v>
      </c>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row>
    <row r="50" spans="1:128" ht="15">
      <c r="A50" s="62" t="s">
        <v>920</v>
      </c>
      <c r="B50" s="62" t="s">
        <v>920</v>
      </c>
      <c r="C50" s="78" t="s">
        <v>714</v>
      </c>
      <c r="D50" s="84">
        <v>5</v>
      </c>
      <c r="E50" s="85" t="s">
        <v>131</v>
      </c>
      <c r="F50" s="86">
        <v>16</v>
      </c>
      <c r="G50" s="78"/>
      <c r="H50" s="70"/>
      <c r="I50" s="87"/>
      <c r="J50" s="87"/>
      <c r="K50" s="34" t="s">
        <v>65</v>
      </c>
      <c r="L50" s="103">
        <v>50</v>
      </c>
      <c r="M50" s="103"/>
      <c r="N50" s="89"/>
      <c r="O50" s="64" t="s">
        <v>183</v>
      </c>
      <c r="P50" s="110">
        <v>45176.33273148148</v>
      </c>
      <c r="Q50" s="64" t="s">
        <v>1003</v>
      </c>
      <c r="R50" s="64"/>
      <c r="S50" s="64"/>
      <c r="T50" s="64"/>
      <c r="U50" s="110">
        <v>45176.33273148148</v>
      </c>
      <c r="V50" s="111" t="str">
        <f>HYPERLINK("https://twitter.com/savichtakes/status/1699693770126590183")</f>
        <v>https://twitter.com/savichtakes/status/1699693770126590183</v>
      </c>
      <c r="W50" s="64"/>
      <c r="X50" s="64"/>
      <c r="Y50" s="136" t="s">
        <v>1315</v>
      </c>
      <c r="Z50" s="64"/>
      <c r="AA50" s="104">
        <v>1</v>
      </c>
      <c r="AB50" s="105"/>
      <c r="AC50" s="106"/>
      <c r="AD50" s="105"/>
      <c r="AE50" s="106"/>
      <c r="AF50" s="105"/>
      <c r="AG50" s="106"/>
      <c r="AH50" s="48">
        <v>23</v>
      </c>
      <c r="AI50" s="49">
        <v>67.6470588235294</v>
      </c>
      <c r="AJ50" s="48">
        <v>34</v>
      </c>
      <c r="AK50" s="107" t="s">
        <v>1128</v>
      </c>
      <c r="AL50" s="111" t="str">
        <f>HYPERLINK("https://pbs.twimg.com/media/F5aGZ5KXUAAQfZk.jpg")</f>
        <v>https://pbs.twimg.com/media/F5aGZ5KXUAAQfZk.jpg</v>
      </c>
      <c r="AM50" s="64"/>
      <c r="AN50" s="64">
        <v>52603</v>
      </c>
      <c r="AO50" s="64"/>
      <c r="AP50" s="64"/>
      <c r="AQ50" s="64" t="s">
        <v>1154</v>
      </c>
      <c r="AR50" s="64" t="b">
        <v>0</v>
      </c>
      <c r="AS50" s="136" t="s">
        <v>691</v>
      </c>
      <c r="AT50" s="64"/>
      <c r="AU50" s="64">
        <v>6231</v>
      </c>
      <c r="AV50" s="136" t="s">
        <v>691</v>
      </c>
      <c r="AW50" s="136" t="s">
        <v>1149</v>
      </c>
      <c r="AX50" s="64"/>
      <c r="AY50" s="136" t="s">
        <v>1315</v>
      </c>
      <c r="AZ50" s="64"/>
      <c r="BA50" s="64"/>
      <c r="BB50" s="64"/>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3</v>
      </c>
      <c r="BM50" s="137">
        <v>45176</v>
      </c>
      <c r="BN50" s="138" t="s">
        <v>1192</v>
      </c>
      <c r="BO50" s="48">
        <v>0</v>
      </c>
      <c r="BP50" s="49">
        <v>0</v>
      </c>
      <c r="BQ50" s="48">
        <v>0</v>
      </c>
      <c r="BR50" s="49">
        <v>0</v>
      </c>
      <c r="BS50" s="48">
        <v>0</v>
      </c>
      <c r="BT50" s="49">
        <v>0</v>
      </c>
      <c r="BU50" s="107">
        <v>1132</v>
      </c>
      <c r="BV50" s="64">
        <v>3924</v>
      </c>
      <c r="BW50" s="64">
        <v>16421023</v>
      </c>
      <c r="BX50" s="64"/>
      <c r="BY50" s="64"/>
      <c r="BZ50" s="64" t="s">
        <v>1146</v>
      </c>
      <c r="CA50" s="64"/>
      <c r="CB50" s="64"/>
      <c r="CC50" s="64"/>
      <c r="CD50" s="64" t="s">
        <v>1269</v>
      </c>
      <c r="CE50" s="64">
        <v>39991</v>
      </c>
      <c r="CF50" s="64"/>
      <c r="CG50" s="64"/>
      <c r="CH50" s="64">
        <v>1679514</v>
      </c>
      <c r="CI50" s="64"/>
      <c r="CJ50" s="64"/>
      <c r="CK50" s="136" t="s">
        <v>1315</v>
      </c>
      <c r="CL50" s="64"/>
      <c r="CM50" s="136" t="s">
        <v>691</v>
      </c>
      <c r="CN50" s="136" t="s">
        <v>1436</v>
      </c>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row>
    <row r="51" spans="1:128" ht="15">
      <c r="A51" s="62" t="s">
        <v>921</v>
      </c>
      <c r="B51" s="62" t="s">
        <v>920</v>
      </c>
      <c r="C51" s="78" t="s">
        <v>714</v>
      </c>
      <c r="D51" s="84">
        <v>5</v>
      </c>
      <c r="E51" s="85" t="s">
        <v>131</v>
      </c>
      <c r="F51" s="86">
        <v>16</v>
      </c>
      <c r="G51" s="78"/>
      <c r="H51" s="70"/>
      <c r="I51" s="87"/>
      <c r="J51" s="87"/>
      <c r="K51" s="34" t="s">
        <v>65</v>
      </c>
      <c r="L51" s="103">
        <v>51</v>
      </c>
      <c r="M51" s="103"/>
      <c r="N51" s="89"/>
      <c r="O51" s="64" t="s">
        <v>965</v>
      </c>
      <c r="P51" s="110">
        <v>45176.513136574074</v>
      </c>
      <c r="Q51" s="64" t="s">
        <v>1004</v>
      </c>
      <c r="R51" s="64"/>
      <c r="S51" s="64"/>
      <c r="T51" s="64"/>
      <c r="U51" s="110">
        <v>45176.513136574074</v>
      </c>
      <c r="V51" s="111" t="str">
        <f>HYPERLINK("https://twitter.com/jeremyl_7/status/1699759146600448462")</f>
        <v>https://twitter.com/jeremyl_7/status/1699759146600448462</v>
      </c>
      <c r="W51" s="64"/>
      <c r="X51" s="64"/>
      <c r="Y51" s="136" t="s">
        <v>1316</v>
      </c>
      <c r="Z51" s="64"/>
      <c r="AA51" s="104">
        <v>1</v>
      </c>
      <c r="AB51" s="105"/>
      <c r="AC51" s="106"/>
      <c r="AD51" s="105"/>
      <c r="AE51" s="106"/>
      <c r="AF51" s="105"/>
      <c r="AG51" s="106"/>
      <c r="AH51" s="48">
        <v>14</v>
      </c>
      <c r="AI51" s="49">
        <v>60.869565217391305</v>
      </c>
      <c r="AJ51" s="48">
        <v>23</v>
      </c>
      <c r="AK51" s="107"/>
      <c r="AL51" s="111" t="str">
        <f>HYPERLINK("https://pbs.twimg.com/profile_images/1420443557463302145/alGwqDfE_normal.jpg")</f>
        <v>https://pbs.twimg.com/profile_images/1420443557463302145/alGwqDfE_normal.jpg</v>
      </c>
      <c r="AM51" s="64"/>
      <c r="AN51" s="64">
        <v>0</v>
      </c>
      <c r="AO51" s="64"/>
      <c r="AP51" s="64"/>
      <c r="AQ51" s="64" t="s">
        <v>1154</v>
      </c>
      <c r="AR51" s="64"/>
      <c r="AS51" s="136" t="s">
        <v>691</v>
      </c>
      <c r="AT51" s="64"/>
      <c r="AU51" s="64">
        <v>6231</v>
      </c>
      <c r="AV51" s="136" t="s">
        <v>1315</v>
      </c>
      <c r="AW51" s="136" t="s">
        <v>1149</v>
      </c>
      <c r="AX51" s="64"/>
      <c r="AY51" s="136" t="s">
        <v>1315</v>
      </c>
      <c r="AZ51" s="64"/>
      <c r="BA51" s="64"/>
      <c r="BB51" s="64"/>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3</v>
      </c>
      <c r="BM51" s="137">
        <v>45176</v>
      </c>
      <c r="BN51" s="138" t="s">
        <v>1193</v>
      </c>
      <c r="BO51" s="48">
        <v>0</v>
      </c>
      <c r="BP51" s="49">
        <v>0</v>
      </c>
      <c r="BQ51" s="48">
        <v>0</v>
      </c>
      <c r="BR51" s="49">
        <v>0</v>
      </c>
      <c r="BS51" s="48">
        <v>0</v>
      </c>
      <c r="BT51" s="49">
        <v>0</v>
      </c>
      <c r="BU51" s="107">
        <v>0</v>
      </c>
      <c r="BV51" s="64">
        <v>0</v>
      </c>
      <c r="BW51" s="64"/>
      <c r="BX51" s="64" t="s">
        <v>920</v>
      </c>
      <c r="BY51" s="64"/>
      <c r="BZ51" s="64"/>
      <c r="CA51" s="64"/>
      <c r="CB51" s="64"/>
      <c r="CC51" s="64"/>
      <c r="CD51" s="64"/>
      <c r="CE51" s="64"/>
      <c r="CF51" s="64"/>
      <c r="CG51" s="64"/>
      <c r="CH51" s="64"/>
      <c r="CI51" s="64"/>
      <c r="CJ51" s="64"/>
      <c r="CK51" s="136" t="s">
        <v>1316</v>
      </c>
      <c r="CL51" s="64"/>
      <c r="CM51" s="136" t="s">
        <v>691</v>
      </c>
      <c r="CN51" s="64">
        <v>115235401</v>
      </c>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row>
    <row r="52" spans="1:128" ht="15">
      <c r="A52" s="62" t="s">
        <v>921</v>
      </c>
      <c r="B52" s="62" t="s">
        <v>910</v>
      </c>
      <c r="C52" s="78" t="s">
        <v>714</v>
      </c>
      <c r="D52" s="84">
        <v>5</v>
      </c>
      <c r="E52" s="85" t="s">
        <v>131</v>
      </c>
      <c r="F52" s="86">
        <v>16</v>
      </c>
      <c r="G52" s="78"/>
      <c r="H52" s="70"/>
      <c r="I52" s="87"/>
      <c r="J52" s="87"/>
      <c r="K52" s="34" t="s">
        <v>65</v>
      </c>
      <c r="L52" s="103">
        <v>52</v>
      </c>
      <c r="M52" s="103"/>
      <c r="N52" s="89"/>
      <c r="O52" s="64" t="s">
        <v>965</v>
      </c>
      <c r="P52" s="110">
        <v>45180.51545138889</v>
      </c>
      <c r="Q52" s="64" t="s">
        <v>1005</v>
      </c>
      <c r="R52" s="64"/>
      <c r="S52" s="64"/>
      <c r="T52" s="64"/>
      <c r="U52" s="110">
        <v>45180.51545138889</v>
      </c>
      <c r="V52" s="111" t="str">
        <f>HYPERLINK("https://twitter.com/jeremyl_7/status/1701209537154261134")</f>
        <v>https://twitter.com/jeremyl_7/status/1701209537154261134</v>
      </c>
      <c r="W52" s="64"/>
      <c r="X52" s="64"/>
      <c r="Y52" s="136" t="s">
        <v>1317</v>
      </c>
      <c r="Z52" s="64"/>
      <c r="AA52" s="104">
        <v>1</v>
      </c>
      <c r="AB52" s="105"/>
      <c r="AC52" s="106"/>
      <c r="AD52" s="105"/>
      <c r="AE52" s="106"/>
      <c r="AF52" s="105"/>
      <c r="AG52" s="106"/>
      <c r="AH52" s="48">
        <v>4</v>
      </c>
      <c r="AI52" s="49">
        <v>57.142857142857146</v>
      </c>
      <c r="AJ52" s="48">
        <v>7</v>
      </c>
      <c r="AK52" s="107"/>
      <c r="AL52" s="111" t="str">
        <f>HYPERLINK("https://pbs.twimg.com/profile_images/1420443557463302145/alGwqDfE_normal.jpg")</f>
        <v>https://pbs.twimg.com/profile_images/1420443557463302145/alGwqDfE_normal.jpg</v>
      </c>
      <c r="AM52" s="64"/>
      <c r="AN52" s="64">
        <v>0</v>
      </c>
      <c r="AO52" s="64"/>
      <c r="AP52" s="64"/>
      <c r="AQ52" s="64" t="s">
        <v>1154</v>
      </c>
      <c r="AR52" s="64"/>
      <c r="AS52" s="136" t="s">
        <v>1294</v>
      </c>
      <c r="AT52" s="64"/>
      <c r="AU52" s="64">
        <v>4036</v>
      </c>
      <c r="AV52" s="136" t="s">
        <v>1295</v>
      </c>
      <c r="AW52" s="136" t="s">
        <v>1149</v>
      </c>
      <c r="AX52" s="64"/>
      <c r="AY52" s="136" t="s">
        <v>1295</v>
      </c>
      <c r="AZ52" s="64"/>
      <c r="BA52" s="64"/>
      <c r="BB52" s="64"/>
      <c r="BC52" s="64"/>
      <c r="BD52" s="64"/>
      <c r="BE52" s="64"/>
      <c r="BF52" s="64"/>
      <c r="BG52" s="64"/>
      <c r="BH52" s="64"/>
      <c r="BI52" s="64"/>
      <c r="BJ52" s="64"/>
      <c r="BK52" s="63" t="str">
        <f>REPLACE(INDEX(GroupVertices[Group],MATCH(Edges[[#This Row],[Vertex 1]],GroupVertices[Vertex],0)),1,1,"")</f>
        <v>3</v>
      </c>
      <c r="BL52" s="63" t="str">
        <f>REPLACE(INDEX(GroupVertices[Group],MATCH(Edges[[#This Row],[Vertex 2]],GroupVertices[Vertex],0)),1,1,"")</f>
        <v>3</v>
      </c>
      <c r="BM52" s="137">
        <v>45180</v>
      </c>
      <c r="BN52" s="138" t="s">
        <v>1194</v>
      </c>
      <c r="BO52" s="48">
        <v>0</v>
      </c>
      <c r="BP52" s="49">
        <v>0</v>
      </c>
      <c r="BQ52" s="48">
        <v>0</v>
      </c>
      <c r="BR52" s="49">
        <v>0</v>
      </c>
      <c r="BS52" s="48">
        <v>0</v>
      </c>
      <c r="BT52" s="49">
        <v>0</v>
      </c>
      <c r="BU52" s="107">
        <v>0</v>
      </c>
      <c r="BV52" s="64">
        <v>0</v>
      </c>
      <c r="BW52" s="64"/>
      <c r="BX52" s="64" t="s">
        <v>910</v>
      </c>
      <c r="BY52" s="64"/>
      <c r="BZ52" s="64"/>
      <c r="CA52" s="64"/>
      <c r="CB52" s="64"/>
      <c r="CC52" s="64"/>
      <c r="CD52" s="64"/>
      <c r="CE52" s="64"/>
      <c r="CF52" s="64"/>
      <c r="CG52" s="64"/>
      <c r="CH52" s="64"/>
      <c r="CI52" s="64"/>
      <c r="CJ52" s="64"/>
      <c r="CK52" s="136" t="s">
        <v>1317</v>
      </c>
      <c r="CL52" s="64"/>
      <c r="CM52" s="136" t="s">
        <v>691</v>
      </c>
      <c r="CN52" s="64">
        <v>115235401</v>
      </c>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row>
    <row r="53" spans="1:128" ht="15">
      <c r="A53" s="62" t="s">
        <v>921</v>
      </c>
      <c r="B53" s="62" t="s">
        <v>933</v>
      </c>
      <c r="C53" s="78" t="s">
        <v>900</v>
      </c>
      <c r="D53" s="84">
        <v>7.5</v>
      </c>
      <c r="E53" s="85" t="s">
        <v>135</v>
      </c>
      <c r="F53" s="86">
        <v>15.23076923076923</v>
      </c>
      <c r="G53" s="78"/>
      <c r="H53" s="70"/>
      <c r="I53" s="87"/>
      <c r="J53" s="87"/>
      <c r="K53" s="34" t="s">
        <v>65</v>
      </c>
      <c r="L53" s="103">
        <v>53</v>
      </c>
      <c r="M53" s="103"/>
      <c r="N53" s="89"/>
      <c r="O53" s="64" t="s">
        <v>965</v>
      </c>
      <c r="P53" s="110">
        <v>45180.59809027778</v>
      </c>
      <c r="Q53" s="64" t="s">
        <v>1006</v>
      </c>
      <c r="R53" s="64"/>
      <c r="S53" s="64"/>
      <c r="T53" s="64"/>
      <c r="U53" s="110">
        <v>45180.59809027778</v>
      </c>
      <c r="V53" s="111" t="str">
        <f>HYPERLINK("https://twitter.com/jeremyl_7/status/1701239484614943000")</f>
        <v>https://twitter.com/jeremyl_7/status/1701239484614943000</v>
      </c>
      <c r="W53" s="64"/>
      <c r="X53" s="64"/>
      <c r="Y53" s="136" t="s">
        <v>1318</v>
      </c>
      <c r="Z53" s="64"/>
      <c r="AA53" s="104">
        <v>2</v>
      </c>
      <c r="AB53" s="105"/>
      <c r="AC53" s="106"/>
      <c r="AD53" s="105"/>
      <c r="AE53" s="106"/>
      <c r="AF53" s="105"/>
      <c r="AG53" s="106"/>
      <c r="AH53" s="48">
        <v>10</v>
      </c>
      <c r="AI53" s="49">
        <v>76.92307692307692</v>
      </c>
      <c r="AJ53" s="48">
        <v>13</v>
      </c>
      <c r="AK53" s="107"/>
      <c r="AL53" s="111" t="str">
        <f>HYPERLINK("https://pbs.twimg.com/profile_images/1420443557463302145/alGwqDfE_normal.jpg")</f>
        <v>https://pbs.twimg.com/profile_images/1420443557463302145/alGwqDfE_normal.jpg</v>
      </c>
      <c r="AM53" s="64"/>
      <c r="AN53" s="64">
        <v>0</v>
      </c>
      <c r="AO53" s="64"/>
      <c r="AP53" s="64"/>
      <c r="AQ53" s="64" t="s">
        <v>1154</v>
      </c>
      <c r="AR53" s="64"/>
      <c r="AS53" s="136" t="s">
        <v>691</v>
      </c>
      <c r="AT53" s="64"/>
      <c r="AU53" s="64">
        <v>5</v>
      </c>
      <c r="AV53" s="136" t="s">
        <v>1359</v>
      </c>
      <c r="AW53" s="136" t="s">
        <v>1149</v>
      </c>
      <c r="AX53" s="64"/>
      <c r="AY53" s="136" t="s">
        <v>1359</v>
      </c>
      <c r="AZ53" s="64"/>
      <c r="BA53" s="64"/>
      <c r="BB53" s="64"/>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3</v>
      </c>
      <c r="BM53" s="137">
        <v>45180</v>
      </c>
      <c r="BN53" s="138" t="s">
        <v>1195</v>
      </c>
      <c r="BO53" s="48">
        <v>0</v>
      </c>
      <c r="BP53" s="49">
        <v>0</v>
      </c>
      <c r="BQ53" s="48">
        <v>0</v>
      </c>
      <c r="BR53" s="49">
        <v>0</v>
      </c>
      <c r="BS53" s="48">
        <v>0</v>
      </c>
      <c r="BT53" s="49">
        <v>0</v>
      </c>
      <c r="BU53" s="107">
        <v>0</v>
      </c>
      <c r="BV53" s="64">
        <v>0</v>
      </c>
      <c r="BW53" s="64"/>
      <c r="BX53" s="64" t="s">
        <v>933</v>
      </c>
      <c r="BY53" s="64"/>
      <c r="BZ53" s="64"/>
      <c r="CA53" s="64"/>
      <c r="CB53" s="64"/>
      <c r="CC53" s="64"/>
      <c r="CD53" s="64"/>
      <c r="CE53" s="64"/>
      <c r="CF53" s="64"/>
      <c r="CG53" s="64"/>
      <c r="CH53" s="64"/>
      <c r="CI53" s="64"/>
      <c r="CJ53" s="64"/>
      <c r="CK53" s="136" t="s">
        <v>1318</v>
      </c>
      <c r="CL53" s="64"/>
      <c r="CM53" s="136" t="s">
        <v>691</v>
      </c>
      <c r="CN53" s="64">
        <v>115235401</v>
      </c>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row>
    <row r="54" spans="1:128" ht="15">
      <c r="A54" s="62" t="s">
        <v>921</v>
      </c>
      <c r="B54" s="62" t="s">
        <v>933</v>
      </c>
      <c r="C54" s="78" t="s">
        <v>900</v>
      </c>
      <c r="D54" s="84">
        <v>7.5</v>
      </c>
      <c r="E54" s="85" t="s">
        <v>135</v>
      </c>
      <c r="F54" s="86">
        <v>15.23076923076923</v>
      </c>
      <c r="G54" s="78"/>
      <c r="H54" s="70"/>
      <c r="I54" s="87"/>
      <c r="J54" s="87"/>
      <c r="K54" s="34" t="s">
        <v>65</v>
      </c>
      <c r="L54" s="103">
        <v>54</v>
      </c>
      <c r="M54" s="103"/>
      <c r="N54" s="89"/>
      <c r="O54" s="64" t="s">
        <v>965</v>
      </c>
      <c r="P54" s="110">
        <v>45181.81055555555</v>
      </c>
      <c r="Q54" s="64" t="s">
        <v>1007</v>
      </c>
      <c r="R54" s="64"/>
      <c r="S54" s="64"/>
      <c r="T54" s="64"/>
      <c r="U54" s="110">
        <v>45181.81055555555</v>
      </c>
      <c r="V54" s="111" t="str">
        <f>HYPERLINK("https://twitter.com/jeremyl_7/status/1701678870221509074")</f>
        <v>https://twitter.com/jeremyl_7/status/1701678870221509074</v>
      </c>
      <c r="W54" s="64"/>
      <c r="X54" s="64"/>
      <c r="Y54" s="136" t="s">
        <v>1319</v>
      </c>
      <c r="Z54" s="64"/>
      <c r="AA54" s="104">
        <v>2</v>
      </c>
      <c r="AB54" s="105"/>
      <c r="AC54" s="106"/>
      <c r="AD54" s="105"/>
      <c r="AE54" s="106"/>
      <c r="AF54" s="105"/>
      <c r="AG54" s="106"/>
      <c r="AH54" s="48">
        <v>3</v>
      </c>
      <c r="AI54" s="49">
        <v>60</v>
      </c>
      <c r="AJ54" s="48">
        <v>5</v>
      </c>
      <c r="AK54" s="107"/>
      <c r="AL54" s="111" t="str">
        <f>HYPERLINK("https://pbs.twimg.com/profile_images/1420443557463302145/alGwqDfE_normal.jpg")</f>
        <v>https://pbs.twimg.com/profile_images/1420443557463302145/alGwqDfE_normal.jpg</v>
      </c>
      <c r="AM54" s="64"/>
      <c r="AN54" s="64">
        <v>0</v>
      </c>
      <c r="AO54" s="64"/>
      <c r="AP54" s="64"/>
      <c r="AQ54" s="64" t="s">
        <v>1154</v>
      </c>
      <c r="AR54" s="64"/>
      <c r="AS54" s="136" t="s">
        <v>1357</v>
      </c>
      <c r="AT54" s="64"/>
      <c r="AU54" s="64">
        <v>834</v>
      </c>
      <c r="AV54" s="136" t="s">
        <v>1358</v>
      </c>
      <c r="AW54" s="136" t="s">
        <v>1149</v>
      </c>
      <c r="AX54" s="64"/>
      <c r="AY54" s="136" t="s">
        <v>1358</v>
      </c>
      <c r="AZ54" s="64"/>
      <c r="BA54" s="64"/>
      <c r="BB54" s="64"/>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3</v>
      </c>
      <c r="BM54" s="137">
        <v>45181</v>
      </c>
      <c r="BN54" s="138" t="s">
        <v>1196</v>
      </c>
      <c r="BO54" s="48">
        <v>0</v>
      </c>
      <c r="BP54" s="49">
        <v>0</v>
      </c>
      <c r="BQ54" s="48">
        <v>0</v>
      </c>
      <c r="BR54" s="49">
        <v>0</v>
      </c>
      <c r="BS54" s="48">
        <v>0</v>
      </c>
      <c r="BT54" s="49">
        <v>0</v>
      </c>
      <c r="BU54" s="107">
        <v>0</v>
      </c>
      <c r="BV54" s="64">
        <v>0</v>
      </c>
      <c r="BW54" s="64"/>
      <c r="BX54" s="64" t="s">
        <v>933</v>
      </c>
      <c r="BY54" s="64"/>
      <c r="BZ54" s="64"/>
      <c r="CA54" s="64"/>
      <c r="CB54" s="64"/>
      <c r="CC54" s="64"/>
      <c r="CD54" s="64"/>
      <c r="CE54" s="64"/>
      <c r="CF54" s="64"/>
      <c r="CG54" s="64"/>
      <c r="CH54" s="64"/>
      <c r="CI54" s="64"/>
      <c r="CJ54" s="64"/>
      <c r="CK54" s="136" t="s">
        <v>1319</v>
      </c>
      <c r="CL54" s="64"/>
      <c r="CM54" s="136" t="s">
        <v>691</v>
      </c>
      <c r="CN54" s="64">
        <v>115235401</v>
      </c>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row>
    <row r="55" spans="1:128" ht="15">
      <c r="A55" s="62" t="s">
        <v>921</v>
      </c>
      <c r="B55" s="62" t="s">
        <v>930</v>
      </c>
      <c r="C55" s="78" t="s">
        <v>714</v>
      </c>
      <c r="D55" s="84">
        <v>5</v>
      </c>
      <c r="E55" s="85" t="s">
        <v>131</v>
      </c>
      <c r="F55" s="86">
        <v>16</v>
      </c>
      <c r="G55" s="78"/>
      <c r="H55" s="70"/>
      <c r="I55" s="87"/>
      <c r="J55" s="87"/>
      <c r="K55" s="34" t="s">
        <v>65</v>
      </c>
      <c r="L55" s="103">
        <v>55</v>
      </c>
      <c r="M55" s="103"/>
      <c r="N55" s="89"/>
      <c r="O55" s="64" t="s">
        <v>965</v>
      </c>
      <c r="P55" s="110">
        <v>45181.81019675926</v>
      </c>
      <c r="Q55" s="64" t="s">
        <v>1008</v>
      </c>
      <c r="R55" s="64"/>
      <c r="S55" s="64"/>
      <c r="T55" s="64"/>
      <c r="U55" s="110">
        <v>45181.81019675926</v>
      </c>
      <c r="V55" s="111" t="str">
        <f>HYPERLINK("https://twitter.com/jeremyl_7/status/1701678737362702488")</f>
        <v>https://twitter.com/jeremyl_7/status/1701678737362702488</v>
      </c>
      <c r="W55" s="64"/>
      <c r="X55" s="64"/>
      <c r="Y55" s="136" t="s">
        <v>1320</v>
      </c>
      <c r="Z55" s="64"/>
      <c r="AA55" s="104">
        <v>1</v>
      </c>
      <c r="AB55" s="105"/>
      <c r="AC55" s="106"/>
      <c r="AD55" s="105"/>
      <c r="AE55" s="106"/>
      <c r="AF55" s="105"/>
      <c r="AG55" s="106"/>
      <c r="AH55" s="48">
        <v>7</v>
      </c>
      <c r="AI55" s="49">
        <v>70</v>
      </c>
      <c r="AJ55" s="48">
        <v>10</v>
      </c>
      <c r="AK55" s="107" t="s">
        <v>1129</v>
      </c>
      <c r="AL55" s="111" t="str">
        <f>HYPERLINK("https://pbs.twimg.com/ext_tw_video_thumb/1701611202005352448/pu/img/cBVLuEF44szBP0_Y.jpg")</f>
        <v>https://pbs.twimg.com/ext_tw_video_thumb/1701611202005352448/pu/img/cBVLuEF44szBP0_Y.jpg</v>
      </c>
      <c r="AM55" s="64"/>
      <c r="AN55" s="64">
        <v>0</v>
      </c>
      <c r="AO55" s="64"/>
      <c r="AP55" s="64"/>
      <c r="AQ55" s="64" t="s">
        <v>1154</v>
      </c>
      <c r="AR55" s="64" t="b">
        <v>0</v>
      </c>
      <c r="AS55" s="136" t="s">
        <v>691</v>
      </c>
      <c r="AT55" s="64"/>
      <c r="AU55" s="64">
        <v>7261</v>
      </c>
      <c r="AV55" s="136" t="s">
        <v>1355</v>
      </c>
      <c r="AW55" s="136" t="s">
        <v>1149</v>
      </c>
      <c r="AX55" s="64"/>
      <c r="AY55" s="136" t="s">
        <v>1355</v>
      </c>
      <c r="AZ55" s="64"/>
      <c r="BA55" s="64"/>
      <c r="BB55" s="64"/>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3</v>
      </c>
      <c r="BM55" s="137">
        <v>45181</v>
      </c>
      <c r="BN55" s="138" t="s">
        <v>1197</v>
      </c>
      <c r="BO55" s="48">
        <v>0</v>
      </c>
      <c r="BP55" s="49">
        <v>0</v>
      </c>
      <c r="BQ55" s="48">
        <v>0</v>
      </c>
      <c r="BR55" s="49">
        <v>0</v>
      </c>
      <c r="BS55" s="48">
        <v>0</v>
      </c>
      <c r="BT55" s="49">
        <v>0</v>
      </c>
      <c r="BU55" s="107">
        <v>0</v>
      </c>
      <c r="BV55" s="64">
        <v>0</v>
      </c>
      <c r="BW55" s="64"/>
      <c r="BX55" s="64" t="s">
        <v>930</v>
      </c>
      <c r="BY55" s="64"/>
      <c r="BZ55" s="64" t="s">
        <v>1144</v>
      </c>
      <c r="CA55" s="64"/>
      <c r="CB55" s="64"/>
      <c r="CC55" s="64"/>
      <c r="CD55" s="64" t="s">
        <v>1270</v>
      </c>
      <c r="CE55" s="64">
        <v>90091</v>
      </c>
      <c r="CF55" s="64"/>
      <c r="CG55" s="64"/>
      <c r="CH55" s="64">
        <v>842554</v>
      </c>
      <c r="CI55" s="64"/>
      <c r="CJ55" s="64"/>
      <c r="CK55" s="136" t="s">
        <v>1320</v>
      </c>
      <c r="CL55" s="64"/>
      <c r="CM55" s="136" t="s">
        <v>691</v>
      </c>
      <c r="CN55" s="64">
        <v>115235401</v>
      </c>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row>
    <row r="56" spans="1:128" ht="15">
      <c r="A56" s="62" t="s">
        <v>922</v>
      </c>
      <c r="B56" s="62" t="s">
        <v>922</v>
      </c>
      <c r="C56" s="78" t="s">
        <v>714</v>
      </c>
      <c r="D56" s="84">
        <v>5</v>
      </c>
      <c r="E56" s="85" t="s">
        <v>131</v>
      </c>
      <c r="F56" s="86">
        <v>16</v>
      </c>
      <c r="G56" s="78"/>
      <c r="H56" s="70"/>
      <c r="I56" s="87"/>
      <c r="J56" s="87"/>
      <c r="K56" s="34" t="s">
        <v>65</v>
      </c>
      <c r="L56" s="103">
        <v>56</v>
      </c>
      <c r="M56" s="103"/>
      <c r="N56" s="89"/>
      <c r="O56" s="64" t="s">
        <v>183</v>
      </c>
      <c r="P56" s="110">
        <v>45178.180555555555</v>
      </c>
      <c r="Q56" s="64" t="s">
        <v>1009</v>
      </c>
      <c r="R56" s="111" t="str">
        <f>HYPERLINK("https://t8ipkovzsy.feishu.cn/sheets/ZaaVs8vDPhkcrWttYTXc9bgmnhh?from=from_copylink")</f>
        <v>https://t8ipkovzsy.feishu.cn/sheets/ZaaVs8vDPhkcrWttYTXc9bgmnhh?from=from_copylink</v>
      </c>
      <c r="S56" s="64" t="s">
        <v>1090</v>
      </c>
      <c r="T56" s="64"/>
      <c r="U56" s="110">
        <v>45178.180555555555</v>
      </c>
      <c r="V56" s="111" t="str">
        <f>HYPERLINK("https://twitter.com/crypto_qianxun/status/1700363398964240587")</f>
        <v>https://twitter.com/crypto_qianxun/status/1700363398964240587</v>
      </c>
      <c r="W56" s="64"/>
      <c r="X56" s="64"/>
      <c r="Y56" s="136" t="s">
        <v>1321</v>
      </c>
      <c r="Z56" s="64"/>
      <c r="AA56" s="104">
        <v>1</v>
      </c>
      <c r="AB56" s="105"/>
      <c r="AC56" s="106"/>
      <c r="AD56" s="105"/>
      <c r="AE56" s="106"/>
      <c r="AF56" s="105"/>
      <c r="AG56" s="106"/>
      <c r="AH56" s="48">
        <v>11</v>
      </c>
      <c r="AI56" s="49">
        <v>100</v>
      </c>
      <c r="AJ56" s="48">
        <v>11</v>
      </c>
      <c r="AK56" s="107" t="s">
        <v>1130</v>
      </c>
      <c r="AL56" s="111" t="str">
        <f>HYPERLINK("https://pbs.twimg.com/media/F5ULPtaacAAp1Cp.jpg")</f>
        <v>https://pbs.twimg.com/media/F5ULPtaacAAp1Cp.jpg</v>
      </c>
      <c r="AM56" s="64"/>
      <c r="AN56" s="64">
        <v>1832</v>
      </c>
      <c r="AO56" s="64"/>
      <c r="AP56" s="64"/>
      <c r="AQ56" s="64" t="s">
        <v>1155</v>
      </c>
      <c r="AR56" s="64" t="b">
        <v>0</v>
      </c>
      <c r="AS56" s="136" t="s">
        <v>691</v>
      </c>
      <c r="AT56" s="64"/>
      <c r="AU56" s="64">
        <v>730</v>
      </c>
      <c r="AV56" s="136" t="s">
        <v>691</v>
      </c>
      <c r="AW56" s="136" t="s">
        <v>1148</v>
      </c>
      <c r="AX56" s="64"/>
      <c r="AY56" s="136" t="s">
        <v>1321</v>
      </c>
      <c r="AZ56" s="64"/>
      <c r="BA56" s="64"/>
      <c r="BB56" s="64"/>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37">
        <v>45178</v>
      </c>
      <c r="BN56" s="138" t="s">
        <v>1198</v>
      </c>
      <c r="BO56" s="48">
        <v>0</v>
      </c>
      <c r="BP56" s="49">
        <v>0</v>
      </c>
      <c r="BQ56" s="48">
        <v>0</v>
      </c>
      <c r="BR56" s="49">
        <v>0</v>
      </c>
      <c r="BS56" s="48">
        <v>0</v>
      </c>
      <c r="BT56" s="49">
        <v>0</v>
      </c>
      <c r="BU56" s="107">
        <v>36</v>
      </c>
      <c r="BV56" s="64">
        <v>10</v>
      </c>
      <c r="BW56" s="64">
        <v>138376</v>
      </c>
      <c r="BX56" s="64"/>
      <c r="BY56" s="64"/>
      <c r="BZ56" s="64" t="s">
        <v>1142</v>
      </c>
      <c r="CA56" s="64"/>
      <c r="CB56" s="64"/>
      <c r="CC56" s="64"/>
      <c r="CD56" s="64" t="s">
        <v>1271</v>
      </c>
      <c r="CE56" s="64"/>
      <c r="CF56" s="64"/>
      <c r="CG56" s="64"/>
      <c r="CH56" s="64"/>
      <c r="CI56" s="64"/>
      <c r="CJ56" s="64"/>
      <c r="CK56" s="136" t="s">
        <v>1321</v>
      </c>
      <c r="CL56" s="64"/>
      <c r="CM56" s="136" t="s">
        <v>691</v>
      </c>
      <c r="CN56" s="136" t="s">
        <v>1409</v>
      </c>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row>
    <row r="57" spans="1:128" ht="15">
      <c r="A57" s="62" t="s">
        <v>923</v>
      </c>
      <c r="B57" s="62" t="s">
        <v>922</v>
      </c>
      <c r="C57" s="78" t="s">
        <v>714</v>
      </c>
      <c r="D57" s="84">
        <v>5</v>
      </c>
      <c r="E57" s="85" t="s">
        <v>131</v>
      </c>
      <c r="F57" s="86">
        <v>16</v>
      </c>
      <c r="G57" s="78"/>
      <c r="H57" s="70"/>
      <c r="I57" s="87"/>
      <c r="J57" s="87"/>
      <c r="K57" s="34" t="s">
        <v>65</v>
      </c>
      <c r="L57" s="103">
        <v>57</v>
      </c>
      <c r="M57" s="103"/>
      <c r="N57" s="89"/>
      <c r="O57" s="64" t="s">
        <v>965</v>
      </c>
      <c r="P57" s="110">
        <v>45179.0021412037</v>
      </c>
      <c r="Q57" s="64" t="s">
        <v>1010</v>
      </c>
      <c r="R57" s="111" t="str">
        <f>HYPERLINK("https://t8ipkovzsy.feishu.cn/sheets/ZaaVs8vDPhkcrWttYTXc9bgmnhh?from=from_copylink")</f>
        <v>https://t8ipkovzsy.feishu.cn/sheets/ZaaVs8vDPhkcrWttYTXc9bgmnhh?from=from_copylink</v>
      </c>
      <c r="S57" s="64" t="s">
        <v>1090</v>
      </c>
      <c r="T57" s="64"/>
      <c r="U57" s="110">
        <v>45179.0021412037</v>
      </c>
      <c r="V57" s="111" t="str">
        <f>HYPERLINK("https://twitter.com/jeremyl99313994/status/1700661132401541449")</f>
        <v>https://twitter.com/jeremyl99313994/status/1700661132401541449</v>
      </c>
      <c r="W57" s="64"/>
      <c r="X57" s="64"/>
      <c r="Y57" s="136" t="s">
        <v>1322</v>
      </c>
      <c r="Z57" s="64"/>
      <c r="AA57" s="104">
        <v>1</v>
      </c>
      <c r="AB57" s="105"/>
      <c r="AC57" s="106"/>
      <c r="AD57" s="105"/>
      <c r="AE57" s="106"/>
      <c r="AF57" s="105"/>
      <c r="AG57" s="106"/>
      <c r="AH57" s="48">
        <v>12</v>
      </c>
      <c r="AI57" s="49">
        <v>92.3076923076923</v>
      </c>
      <c r="AJ57" s="48">
        <v>13</v>
      </c>
      <c r="AK57" s="107" t="s">
        <v>1130</v>
      </c>
      <c r="AL57" s="111" t="str">
        <f>HYPERLINK("https://pbs.twimg.com/media/F5ULPtaacAAp1Cp.jpg")</f>
        <v>https://pbs.twimg.com/media/F5ULPtaacAAp1Cp.jpg</v>
      </c>
      <c r="AM57" s="64"/>
      <c r="AN57" s="64">
        <v>0</v>
      </c>
      <c r="AO57" s="64"/>
      <c r="AP57" s="64"/>
      <c r="AQ57" s="64" t="s">
        <v>1155</v>
      </c>
      <c r="AR57" s="64" t="b">
        <v>0</v>
      </c>
      <c r="AS57" s="136" t="s">
        <v>691</v>
      </c>
      <c r="AT57" s="64"/>
      <c r="AU57" s="64">
        <v>730</v>
      </c>
      <c r="AV57" s="136" t="s">
        <v>1321</v>
      </c>
      <c r="AW57" s="136" t="s">
        <v>1149</v>
      </c>
      <c r="AX57" s="64"/>
      <c r="AY57" s="136" t="s">
        <v>1321</v>
      </c>
      <c r="AZ57" s="64"/>
      <c r="BA57" s="64"/>
      <c r="BB57" s="64"/>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37">
        <v>45179</v>
      </c>
      <c r="BN57" s="138" t="s">
        <v>1199</v>
      </c>
      <c r="BO57" s="48">
        <v>0</v>
      </c>
      <c r="BP57" s="49">
        <v>0</v>
      </c>
      <c r="BQ57" s="48">
        <v>0</v>
      </c>
      <c r="BR57" s="49">
        <v>0</v>
      </c>
      <c r="BS57" s="48">
        <v>0</v>
      </c>
      <c r="BT57" s="49">
        <v>0</v>
      </c>
      <c r="BU57" s="107">
        <v>0</v>
      </c>
      <c r="BV57" s="64">
        <v>0</v>
      </c>
      <c r="BW57" s="64"/>
      <c r="BX57" s="64" t="s">
        <v>922</v>
      </c>
      <c r="BY57" s="64"/>
      <c r="BZ57" s="64" t="s">
        <v>1142</v>
      </c>
      <c r="CA57" s="64"/>
      <c r="CB57" s="64"/>
      <c r="CC57" s="64"/>
      <c r="CD57" s="64" t="s">
        <v>1271</v>
      </c>
      <c r="CE57" s="64"/>
      <c r="CF57" s="64"/>
      <c r="CG57" s="64"/>
      <c r="CH57" s="64"/>
      <c r="CI57" s="64"/>
      <c r="CJ57" s="64"/>
      <c r="CK57" s="136" t="s">
        <v>1322</v>
      </c>
      <c r="CL57" s="64"/>
      <c r="CM57" s="136" t="s">
        <v>691</v>
      </c>
      <c r="CN57" s="136" t="s">
        <v>1437</v>
      </c>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row>
    <row r="58" spans="1:128" ht="15">
      <c r="A58" s="62" t="s">
        <v>923</v>
      </c>
      <c r="B58" s="62" t="s">
        <v>922</v>
      </c>
      <c r="C58" s="78" t="s">
        <v>714</v>
      </c>
      <c r="D58" s="84">
        <v>5</v>
      </c>
      <c r="E58" s="85" t="s">
        <v>131</v>
      </c>
      <c r="F58" s="86">
        <v>16</v>
      </c>
      <c r="G58" s="78"/>
      <c r="H58" s="70"/>
      <c r="I58" s="87"/>
      <c r="J58" s="87"/>
      <c r="K58" s="34" t="s">
        <v>65</v>
      </c>
      <c r="L58" s="103">
        <v>58</v>
      </c>
      <c r="M58" s="103"/>
      <c r="N58" s="89"/>
      <c r="O58" s="64" t="s">
        <v>966</v>
      </c>
      <c r="P58" s="110">
        <v>45179.00219907407</v>
      </c>
      <c r="Q58" s="64" t="s">
        <v>1011</v>
      </c>
      <c r="R58" s="64"/>
      <c r="S58" s="64"/>
      <c r="T58" s="64"/>
      <c r="U58" s="110">
        <v>45179.00219907407</v>
      </c>
      <c r="V58" s="111" t="str">
        <f>HYPERLINK("https://twitter.com/jeremyl99313994/status/1700661155788972392")</f>
        <v>https://twitter.com/jeremyl99313994/status/1700661155788972392</v>
      </c>
      <c r="W58" s="64"/>
      <c r="X58" s="64"/>
      <c r="Y58" s="136" t="s">
        <v>1323</v>
      </c>
      <c r="Z58" s="64"/>
      <c r="AA58" s="104">
        <v>1</v>
      </c>
      <c r="AB58" s="105"/>
      <c r="AC58" s="106"/>
      <c r="AD58" s="105"/>
      <c r="AE58" s="106"/>
      <c r="AF58" s="105"/>
      <c r="AG58" s="106"/>
      <c r="AH58" s="48"/>
      <c r="AI58" s="49"/>
      <c r="AJ58" s="48"/>
      <c r="AK58" s="107"/>
      <c r="AL58" s="111" t="str">
        <f>HYPERLINK("https://pbs.twimg.com/profile_images/1223036536028925952/FSgIEXZc_normal.jpg")</f>
        <v>https://pbs.twimg.com/profile_images/1223036536028925952/FSgIEXZc_normal.jpg</v>
      </c>
      <c r="AM58" s="64"/>
      <c r="AN58" s="64">
        <v>0</v>
      </c>
      <c r="AO58" s="64"/>
      <c r="AP58" s="64"/>
      <c r="AQ58" s="64" t="s">
        <v>1154</v>
      </c>
      <c r="AR58" s="64"/>
      <c r="AS58" s="136" t="s">
        <v>691</v>
      </c>
      <c r="AT58" s="64"/>
      <c r="AU58" s="64">
        <v>0</v>
      </c>
      <c r="AV58" s="136" t="s">
        <v>691</v>
      </c>
      <c r="AW58" s="136" t="s">
        <v>1149</v>
      </c>
      <c r="AX58" s="64"/>
      <c r="AY58" s="136" t="s">
        <v>1321</v>
      </c>
      <c r="AZ58" s="64"/>
      <c r="BA58" s="64"/>
      <c r="BB58" s="64"/>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37">
        <v>45179</v>
      </c>
      <c r="BN58" s="138" t="s">
        <v>1200</v>
      </c>
      <c r="BO58" s="48"/>
      <c r="BP58" s="49"/>
      <c r="BQ58" s="48"/>
      <c r="BR58" s="49"/>
      <c r="BS58" s="48"/>
      <c r="BT58" s="49"/>
      <c r="BU58" s="107">
        <v>1</v>
      </c>
      <c r="BV58" s="64">
        <v>0</v>
      </c>
      <c r="BW58" s="64">
        <v>983</v>
      </c>
      <c r="BX58" s="64" t="s">
        <v>1110</v>
      </c>
      <c r="BY58" s="64"/>
      <c r="BZ58" s="64"/>
      <c r="CA58" s="64"/>
      <c r="CB58" s="64"/>
      <c r="CC58" s="64"/>
      <c r="CD58" s="64"/>
      <c r="CE58" s="64"/>
      <c r="CF58" s="64"/>
      <c r="CG58" s="64"/>
      <c r="CH58" s="64"/>
      <c r="CI58" s="64"/>
      <c r="CJ58" s="64"/>
      <c r="CK58" s="136" t="s">
        <v>1321</v>
      </c>
      <c r="CL58" s="136" t="s">
        <v>1409</v>
      </c>
      <c r="CM58" s="136" t="s">
        <v>1321</v>
      </c>
      <c r="CN58" s="136" t="s">
        <v>1437</v>
      </c>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row>
    <row r="59" spans="1:128" ht="15">
      <c r="A59" s="62" t="s">
        <v>924</v>
      </c>
      <c r="B59" s="62" t="s">
        <v>924</v>
      </c>
      <c r="C59" s="78" t="s">
        <v>714</v>
      </c>
      <c r="D59" s="84">
        <v>5</v>
      </c>
      <c r="E59" s="85" t="s">
        <v>131</v>
      </c>
      <c r="F59" s="86">
        <v>16</v>
      </c>
      <c r="G59" s="78"/>
      <c r="H59" s="70"/>
      <c r="I59" s="87"/>
      <c r="J59" s="87"/>
      <c r="K59" s="34" t="s">
        <v>65</v>
      </c>
      <c r="L59" s="103">
        <v>59</v>
      </c>
      <c r="M59" s="103"/>
      <c r="N59" s="89"/>
      <c r="O59" s="64" t="s">
        <v>183</v>
      </c>
      <c r="P59" s="110">
        <v>45180.42563657407</v>
      </c>
      <c r="Q59" s="64" t="s">
        <v>1012</v>
      </c>
      <c r="R59" s="64"/>
      <c r="S59" s="64"/>
      <c r="T59" s="64"/>
      <c r="U59" s="110">
        <v>45180.42563657407</v>
      </c>
      <c r="V59" s="111" t="str">
        <f>HYPERLINK("https://twitter.com/bearbig/status/1701176990953553964")</f>
        <v>https://twitter.com/bearbig/status/1701176990953553964</v>
      </c>
      <c r="W59" s="64"/>
      <c r="X59" s="64"/>
      <c r="Y59" s="136" t="s">
        <v>1324</v>
      </c>
      <c r="Z59" s="64"/>
      <c r="AA59" s="104">
        <v>1</v>
      </c>
      <c r="AB59" s="105"/>
      <c r="AC59" s="106"/>
      <c r="AD59" s="105"/>
      <c r="AE59" s="106"/>
      <c r="AF59" s="105"/>
      <c r="AG59" s="106"/>
      <c r="AH59" s="48">
        <v>8</v>
      </c>
      <c r="AI59" s="49">
        <v>100</v>
      </c>
      <c r="AJ59" s="48">
        <v>8</v>
      </c>
      <c r="AK59" s="107" t="s">
        <v>1131</v>
      </c>
      <c r="AL59" s="111" t="str">
        <f>HYPERLINK("https://pbs.twimg.com/amplify_video_thumb/1701176933286039552/img/H3mD95i2arZ9_NFS.jpg")</f>
        <v>https://pbs.twimg.com/amplify_video_thumb/1701176933286039552/img/H3mD95i2arZ9_NFS.jpg</v>
      </c>
      <c r="AM59" s="64"/>
      <c r="AN59" s="64">
        <v>1733</v>
      </c>
      <c r="AO59" s="64"/>
      <c r="AP59" s="64"/>
      <c r="AQ59" s="64" t="s">
        <v>1155</v>
      </c>
      <c r="AR59" s="64" t="b">
        <v>0</v>
      </c>
      <c r="AS59" s="136" t="s">
        <v>691</v>
      </c>
      <c r="AT59" s="64"/>
      <c r="AU59" s="64">
        <v>658</v>
      </c>
      <c r="AV59" s="136" t="s">
        <v>691</v>
      </c>
      <c r="AW59" s="136" t="s">
        <v>1149</v>
      </c>
      <c r="AX59" s="64"/>
      <c r="AY59" s="136" t="s">
        <v>1324</v>
      </c>
      <c r="AZ59" s="64"/>
      <c r="BA59" s="64"/>
      <c r="BB59" s="64"/>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37">
        <v>45180</v>
      </c>
      <c r="BN59" s="138" t="s">
        <v>1201</v>
      </c>
      <c r="BO59" s="48">
        <v>0</v>
      </c>
      <c r="BP59" s="49">
        <v>0</v>
      </c>
      <c r="BQ59" s="48">
        <v>0</v>
      </c>
      <c r="BR59" s="49">
        <v>0</v>
      </c>
      <c r="BS59" s="48">
        <v>0</v>
      </c>
      <c r="BT59" s="49">
        <v>0</v>
      </c>
      <c r="BU59" s="107">
        <v>35</v>
      </c>
      <c r="BV59" s="64">
        <v>19</v>
      </c>
      <c r="BW59" s="64">
        <v>189701</v>
      </c>
      <c r="BX59" s="64"/>
      <c r="BY59" s="64"/>
      <c r="BZ59" s="64" t="s">
        <v>1144</v>
      </c>
      <c r="CA59" s="64"/>
      <c r="CB59" s="64"/>
      <c r="CC59" s="64"/>
      <c r="CD59" s="64" t="s">
        <v>1272</v>
      </c>
      <c r="CE59" s="64">
        <v>15366</v>
      </c>
      <c r="CF59" s="64"/>
      <c r="CG59" s="64"/>
      <c r="CH59" s="64">
        <v>56290</v>
      </c>
      <c r="CI59" s="64"/>
      <c r="CJ59" s="64"/>
      <c r="CK59" s="136" t="s">
        <v>1324</v>
      </c>
      <c r="CL59" s="64"/>
      <c r="CM59" s="136" t="s">
        <v>691</v>
      </c>
      <c r="CN59" s="64">
        <v>259611996</v>
      </c>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row>
    <row r="60" spans="1:128" ht="15">
      <c r="A60" s="62" t="s">
        <v>923</v>
      </c>
      <c r="B60" s="62" t="s">
        <v>924</v>
      </c>
      <c r="C60" s="78" t="s">
        <v>714</v>
      </c>
      <c r="D60" s="84">
        <v>5</v>
      </c>
      <c r="E60" s="85" t="s">
        <v>131</v>
      </c>
      <c r="F60" s="86">
        <v>16</v>
      </c>
      <c r="G60" s="78"/>
      <c r="H60" s="70"/>
      <c r="I60" s="87"/>
      <c r="J60" s="87"/>
      <c r="K60" s="34" t="s">
        <v>65</v>
      </c>
      <c r="L60" s="103">
        <v>60</v>
      </c>
      <c r="M60" s="103"/>
      <c r="N60" s="89"/>
      <c r="O60" s="64" t="s">
        <v>965</v>
      </c>
      <c r="P60" s="110">
        <v>45180.9718287037</v>
      </c>
      <c r="Q60" s="64" t="s">
        <v>1013</v>
      </c>
      <c r="R60" s="64"/>
      <c r="S60" s="64"/>
      <c r="T60" s="64"/>
      <c r="U60" s="110">
        <v>45180.9718287037</v>
      </c>
      <c r="V60" s="111" t="str">
        <f>HYPERLINK("https://twitter.com/jeremyl99313994/status/1701374922424246536")</f>
        <v>https://twitter.com/jeremyl99313994/status/1701374922424246536</v>
      </c>
      <c r="W60" s="64"/>
      <c r="X60" s="64"/>
      <c r="Y60" s="136" t="s">
        <v>1325</v>
      </c>
      <c r="Z60" s="64"/>
      <c r="AA60" s="104">
        <v>1</v>
      </c>
      <c r="AB60" s="105"/>
      <c r="AC60" s="106"/>
      <c r="AD60" s="105"/>
      <c r="AE60" s="106"/>
      <c r="AF60" s="105"/>
      <c r="AG60" s="106"/>
      <c r="AH60" s="48">
        <v>9</v>
      </c>
      <c r="AI60" s="49">
        <v>90</v>
      </c>
      <c r="AJ60" s="48">
        <v>10</v>
      </c>
      <c r="AK60" s="107" t="s">
        <v>1131</v>
      </c>
      <c r="AL60" s="111" t="str">
        <f>HYPERLINK("https://pbs.twimg.com/amplify_video_thumb/1701176933286039552/img/H3mD95i2arZ9_NFS.jpg")</f>
        <v>https://pbs.twimg.com/amplify_video_thumb/1701176933286039552/img/H3mD95i2arZ9_NFS.jpg</v>
      </c>
      <c r="AM60" s="64"/>
      <c r="AN60" s="64">
        <v>0</v>
      </c>
      <c r="AO60" s="64"/>
      <c r="AP60" s="64"/>
      <c r="AQ60" s="64" t="s">
        <v>1155</v>
      </c>
      <c r="AR60" s="64" t="b">
        <v>0</v>
      </c>
      <c r="AS60" s="136" t="s">
        <v>691</v>
      </c>
      <c r="AT60" s="64"/>
      <c r="AU60" s="64">
        <v>658</v>
      </c>
      <c r="AV60" s="136" t="s">
        <v>1324</v>
      </c>
      <c r="AW60" s="136" t="s">
        <v>1149</v>
      </c>
      <c r="AX60" s="64"/>
      <c r="AY60" s="136" t="s">
        <v>1324</v>
      </c>
      <c r="AZ60" s="64"/>
      <c r="BA60" s="64"/>
      <c r="BB60" s="64"/>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37">
        <v>45180</v>
      </c>
      <c r="BN60" s="138" t="s">
        <v>1202</v>
      </c>
      <c r="BO60" s="48">
        <v>0</v>
      </c>
      <c r="BP60" s="49">
        <v>0</v>
      </c>
      <c r="BQ60" s="48">
        <v>0</v>
      </c>
      <c r="BR60" s="49">
        <v>0</v>
      </c>
      <c r="BS60" s="48">
        <v>0</v>
      </c>
      <c r="BT60" s="49">
        <v>0</v>
      </c>
      <c r="BU60" s="107">
        <v>0</v>
      </c>
      <c r="BV60" s="64">
        <v>0</v>
      </c>
      <c r="BW60" s="64"/>
      <c r="BX60" s="64" t="s">
        <v>924</v>
      </c>
      <c r="BY60" s="64"/>
      <c r="BZ60" s="64" t="s">
        <v>1144</v>
      </c>
      <c r="CA60" s="64"/>
      <c r="CB60" s="64"/>
      <c r="CC60" s="64"/>
      <c r="CD60" s="64" t="s">
        <v>1272</v>
      </c>
      <c r="CE60" s="64">
        <v>15366</v>
      </c>
      <c r="CF60" s="64"/>
      <c r="CG60" s="64"/>
      <c r="CH60" s="64">
        <v>56290</v>
      </c>
      <c r="CI60" s="64"/>
      <c r="CJ60" s="64"/>
      <c r="CK60" s="136" t="s">
        <v>1325</v>
      </c>
      <c r="CL60" s="64"/>
      <c r="CM60" s="136" t="s">
        <v>691</v>
      </c>
      <c r="CN60" s="136" t="s">
        <v>1437</v>
      </c>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row>
    <row r="61" spans="1:128" ht="15">
      <c r="A61" s="62" t="s">
        <v>923</v>
      </c>
      <c r="B61" s="62" t="s">
        <v>924</v>
      </c>
      <c r="C61" s="78" t="s">
        <v>714</v>
      </c>
      <c r="D61" s="84">
        <v>5</v>
      </c>
      <c r="E61" s="85" t="s">
        <v>131</v>
      </c>
      <c r="F61" s="86">
        <v>16</v>
      </c>
      <c r="G61" s="78"/>
      <c r="H61" s="70"/>
      <c r="I61" s="87"/>
      <c r="J61" s="87"/>
      <c r="K61" s="34" t="s">
        <v>65</v>
      </c>
      <c r="L61" s="103">
        <v>61</v>
      </c>
      <c r="M61" s="103"/>
      <c r="N61" s="89"/>
      <c r="O61" s="64" t="s">
        <v>966</v>
      </c>
      <c r="P61" s="110">
        <v>45180.971875</v>
      </c>
      <c r="Q61" s="64" t="s">
        <v>1014</v>
      </c>
      <c r="R61" s="64"/>
      <c r="S61" s="64"/>
      <c r="T61" s="64"/>
      <c r="U61" s="110">
        <v>45180.971875</v>
      </c>
      <c r="V61" s="111" t="str">
        <f>HYPERLINK("https://twitter.com/jeremyl99313994/status/1701374939868381369")</f>
        <v>https://twitter.com/jeremyl99313994/status/1701374939868381369</v>
      </c>
      <c r="W61" s="64"/>
      <c r="X61" s="64"/>
      <c r="Y61" s="136" t="s">
        <v>1326</v>
      </c>
      <c r="Z61" s="64"/>
      <c r="AA61" s="104">
        <v>1</v>
      </c>
      <c r="AB61" s="105"/>
      <c r="AC61" s="106"/>
      <c r="AD61" s="105"/>
      <c r="AE61" s="106"/>
      <c r="AF61" s="105"/>
      <c r="AG61" s="106"/>
      <c r="AH61" s="48"/>
      <c r="AI61" s="49"/>
      <c r="AJ61" s="48"/>
      <c r="AK61" s="107"/>
      <c r="AL61" s="111" t="str">
        <f>HYPERLINK("https://pbs.twimg.com/profile_images/1223036536028925952/FSgIEXZc_normal.jpg")</f>
        <v>https://pbs.twimg.com/profile_images/1223036536028925952/FSgIEXZc_normal.jpg</v>
      </c>
      <c r="AM61" s="64"/>
      <c r="AN61" s="64">
        <v>0</v>
      </c>
      <c r="AO61" s="64"/>
      <c r="AP61" s="64"/>
      <c r="AQ61" s="64" t="s">
        <v>1154</v>
      </c>
      <c r="AR61" s="64"/>
      <c r="AS61" s="136" t="s">
        <v>691</v>
      </c>
      <c r="AT61" s="64"/>
      <c r="AU61" s="64">
        <v>0</v>
      </c>
      <c r="AV61" s="136" t="s">
        <v>691</v>
      </c>
      <c r="AW61" s="136" t="s">
        <v>1149</v>
      </c>
      <c r="AX61" s="64"/>
      <c r="AY61" s="136" t="s">
        <v>1324</v>
      </c>
      <c r="AZ61" s="64"/>
      <c r="BA61" s="64"/>
      <c r="BB61" s="64"/>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37">
        <v>45180</v>
      </c>
      <c r="BN61" s="138" t="s">
        <v>1203</v>
      </c>
      <c r="BO61" s="48"/>
      <c r="BP61" s="49"/>
      <c r="BQ61" s="48"/>
      <c r="BR61" s="49"/>
      <c r="BS61" s="48"/>
      <c r="BT61" s="49"/>
      <c r="BU61" s="107">
        <v>1</v>
      </c>
      <c r="BV61" s="64">
        <v>0</v>
      </c>
      <c r="BW61" s="64">
        <v>925</v>
      </c>
      <c r="BX61" s="64" t="s">
        <v>1111</v>
      </c>
      <c r="BY61" s="64"/>
      <c r="BZ61" s="64"/>
      <c r="CA61" s="64"/>
      <c r="CB61" s="64"/>
      <c r="CC61" s="64"/>
      <c r="CD61" s="64"/>
      <c r="CE61" s="64"/>
      <c r="CF61" s="64"/>
      <c r="CG61" s="64"/>
      <c r="CH61" s="64"/>
      <c r="CI61" s="64"/>
      <c r="CJ61" s="64"/>
      <c r="CK61" s="136" t="s">
        <v>1324</v>
      </c>
      <c r="CL61" s="136" t="s">
        <v>1410</v>
      </c>
      <c r="CM61" s="136" t="s">
        <v>1324</v>
      </c>
      <c r="CN61" s="136" t="s">
        <v>1437</v>
      </c>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row>
    <row r="62" spans="1:128" ht="15">
      <c r="A62" s="62" t="s">
        <v>925</v>
      </c>
      <c r="B62" s="62" t="s">
        <v>925</v>
      </c>
      <c r="C62" s="78" t="s">
        <v>714</v>
      </c>
      <c r="D62" s="84">
        <v>5</v>
      </c>
      <c r="E62" s="85" t="s">
        <v>131</v>
      </c>
      <c r="F62" s="86">
        <v>16</v>
      </c>
      <c r="G62" s="78"/>
      <c r="H62" s="70"/>
      <c r="I62" s="87"/>
      <c r="J62" s="87"/>
      <c r="K62" s="34" t="s">
        <v>65</v>
      </c>
      <c r="L62" s="103">
        <v>62</v>
      </c>
      <c r="M62" s="103"/>
      <c r="N62" s="89"/>
      <c r="O62" s="64" t="s">
        <v>183</v>
      </c>
      <c r="P62" s="110">
        <v>45179.57224537037</v>
      </c>
      <c r="Q62" s="64" t="s">
        <v>1015</v>
      </c>
      <c r="R62" s="111" t="str">
        <f>HYPERLINK("https://archive.area17.com/directory/2023_openai/36_brand-guidelines.pdf")</f>
        <v>https://archive.area17.com/directory/2023_openai/36_brand-guidelines.pdf</v>
      </c>
      <c r="S62" s="64" t="s">
        <v>1091</v>
      </c>
      <c r="T62" s="64"/>
      <c r="U62" s="110">
        <v>45179.57224537037</v>
      </c>
      <c r="V62" s="111" t="str">
        <f>HYPERLINK("https://twitter.com/ftium4/status/1700867729769861368")</f>
        <v>https://twitter.com/ftium4/status/1700867729769861368</v>
      </c>
      <c r="W62" s="64"/>
      <c r="X62" s="64"/>
      <c r="Y62" s="136" t="s">
        <v>1327</v>
      </c>
      <c r="Z62" s="64"/>
      <c r="AA62" s="104">
        <v>1</v>
      </c>
      <c r="AB62" s="105"/>
      <c r="AC62" s="106"/>
      <c r="AD62" s="105"/>
      <c r="AE62" s="106"/>
      <c r="AF62" s="105"/>
      <c r="AG62" s="106"/>
      <c r="AH62" s="48">
        <v>16</v>
      </c>
      <c r="AI62" s="49">
        <v>100</v>
      </c>
      <c r="AJ62" s="48">
        <v>16</v>
      </c>
      <c r="AK62" s="107" t="s">
        <v>1132</v>
      </c>
      <c r="AL62" s="111" t="str">
        <f>HYPERLINK("https://pbs.twimg.com/media/F5qyLhzaIAAUo3z.jpg")</f>
        <v>https://pbs.twimg.com/media/F5qyLhzaIAAUo3z.jpg</v>
      </c>
      <c r="AM62" s="64"/>
      <c r="AN62" s="64">
        <v>159</v>
      </c>
      <c r="AO62" s="64"/>
      <c r="AP62" s="64"/>
      <c r="AQ62" s="64" t="s">
        <v>1155</v>
      </c>
      <c r="AR62" s="64" t="b">
        <v>0</v>
      </c>
      <c r="AS62" s="136" t="s">
        <v>691</v>
      </c>
      <c r="AT62" s="64"/>
      <c r="AU62" s="64">
        <v>50</v>
      </c>
      <c r="AV62" s="136" t="s">
        <v>691</v>
      </c>
      <c r="AW62" s="136" t="s">
        <v>1148</v>
      </c>
      <c r="AX62" s="64"/>
      <c r="AY62" s="136" t="s">
        <v>1327</v>
      </c>
      <c r="AZ62" s="64"/>
      <c r="BA62" s="64"/>
      <c r="BB62" s="64"/>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37">
        <v>45179</v>
      </c>
      <c r="BN62" s="138" t="s">
        <v>1204</v>
      </c>
      <c r="BO62" s="48">
        <v>0</v>
      </c>
      <c r="BP62" s="49">
        <v>0</v>
      </c>
      <c r="BQ62" s="48">
        <v>0</v>
      </c>
      <c r="BR62" s="49">
        <v>0</v>
      </c>
      <c r="BS62" s="48">
        <v>0</v>
      </c>
      <c r="BT62" s="49">
        <v>0</v>
      </c>
      <c r="BU62" s="107">
        <v>4</v>
      </c>
      <c r="BV62" s="64">
        <v>2</v>
      </c>
      <c r="BW62" s="64">
        <v>22829</v>
      </c>
      <c r="BX62" s="64"/>
      <c r="BY62" s="64"/>
      <c r="BZ62" s="64" t="s">
        <v>1142</v>
      </c>
      <c r="CA62" s="64"/>
      <c r="CB62" s="64"/>
      <c r="CC62" s="64"/>
      <c r="CD62" s="64" t="s">
        <v>1273</v>
      </c>
      <c r="CE62" s="64"/>
      <c r="CF62" s="64"/>
      <c r="CG62" s="64"/>
      <c r="CH62" s="64"/>
      <c r="CI62" s="64"/>
      <c r="CJ62" s="64"/>
      <c r="CK62" s="136" t="s">
        <v>1327</v>
      </c>
      <c r="CL62" s="64"/>
      <c r="CM62" s="136" t="s">
        <v>691</v>
      </c>
      <c r="CN62" s="64">
        <v>377823810</v>
      </c>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row>
    <row r="63" spans="1:128" ht="15">
      <c r="A63" s="62" t="s">
        <v>923</v>
      </c>
      <c r="B63" s="62" t="s">
        <v>925</v>
      </c>
      <c r="C63" s="78" t="s">
        <v>714</v>
      </c>
      <c r="D63" s="84">
        <v>5</v>
      </c>
      <c r="E63" s="85" t="s">
        <v>131</v>
      </c>
      <c r="F63" s="86">
        <v>16</v>
      </c>
      <c r="G63" s="78"/>
      <c r="H63" s="70"/>
      <c r="I63" s="87"/>
      <c r="J63" s="87"/>
      <c r="K63" s="34" t="s">
        <v>65</v>
      </c>
      <c r="L63" s="103">
        <v>63</v>
      </c>
      <c r="M63" s="103"/>
      <c r="N63" s="89"/>
      <c r="O63" s="64" t="s">
        <v>965</v>
      </c>
      <c r="P63" s="110">
        <v>45179.65373842593</v>
      </c>
      <c r="Q63" s="64" t="s">
        <v>1016</v>
      </c>
      <c r="R63" s="111" t="str">
        <f>HYPERLINK("https://archive.area17.com/directory/2023_openai/36_brand-guidelines.pdf")</f>
        <v>https://archive.area17.com/directory/2023_openai/36_brand-guidelines.pdf</v>
      </c>
      <c r="S63" s="64" t="s">
        <v>1091</v>
      </c>
      <c r="T63" s="64"/>
      <c r="U63" s="110">
        <v>45179.65373842593</v>
      </c>
      <c r="V63" s="111" t="str">
        <f>HYPERLINK("https://twitter.com/jeremyl99313994/status/1700897262371852542")</f>
        <v>https://twitter.com/jeremyl99313994/status/1700897262371852542</v>
      </c>
      <c r="W63" s="64"/>
      <c r="X63" s="64"/>
      <c r="Y63" s="136" t="s">
        <v>1328</v>
      </c>
      <c r="Z63" s="64"/>
      <c r="AA63" s="104">
        <v>1</v>
      </c>
      <c r="AB63" s="105"/>
      <c r="AC63" s="106"/>
      <c r="AD63" s="105"/>
      <c r="AE63" s="106"/>
      <c r="AF63" s="105"/>
      <c r="AG63" s="106"/>
      <c r="AH63" s="48">
        <v>17</v>
      </c>
      <c r="AI63" s="49">
        <v>94.44444444444444</v>
      </c>
      <c r="AJ63" s="48">
        <v>18</v>
      </c>
      <c r="AK63" s="107" t="s">
        <v>1132</v>
      </c>
      <c r="AL63" s="111" t="str">
        <f>HYPERLINK("https://pbs.twimg.com/media/F5qyLhzaIAAUo3z.jpg")</f>
        <v>https://pbs.twimg.com/media/F5qyLhzaIAAUo3z.jpg</v>
      </c>
      <c r="AM63" s="64"/>
      <c r="AN63" s="64">
        <v>0</v>
      </c>
      <c r="AO63" s="64"/>
      <c r="AP63" s="64"/>
      <c r="AQ63" s="64" t="s">
        <v>1155</v>
      </c>
      <c r="AR63" s="64" t="b">
        <v>0</v>
      </c>
      <c r="AS63" s="136" t="s">
        <v>691</v>
      </c>
      <c r="AT63" s="64"/>
      <c r="AU63" s="64">
        <v>50</v>
      </c>
      <c r="AV63" s="136" t="s">
        <v>1327</v>
      </c>
      <c r="AW63" s="136" t="s">
        <v>1149</v>
      </c>
      <c r="AX63" s="64"/>
      <c r="AY63" s="136" t="s">
        <v>1327</v>
      </c>
      <c r="AZ63" s="64"/>
      <c r="BA63" s="64"/>
      <c r="BB63" s="64"/>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1</v>
      </c>
      <c r="BM63" s="137">
        <v>45179</v>
      </c>
      <c r="BN63" s="138" t="s">
        <v>1205</v>
      </c>
      <c r="BO63" s="48">
        <v>0</v>
      </c>
      <c r="BP63" s="49">
        <v>0</v>
      </c>
      <c r="BQ63" s="48">
        <v>0</v>
      </c>
      <c r="BR63" s="49">
        <v>0</v>
      </c>
      <c r="BS63" s="48">
        <v>0</v>
      </c>
      <c r="BT63" s="49">
        <v>0</v>
      </c>
      <c r="BU63" s="107">
        <v>0</v>
      </c>
      <c r="BV63" s="64">
        <v>0</v>
      </c>
      <c r="BW63" s="64"/>
      <c r="BX63" s="64" t="s">
        <v>925</v>
      </c>
      <c r="BY63" s="64"/>
      <c r="BZ63" s="64" t="s">
        <v>1142</v>
      </c>
      <c r="CA63" s="64"/>
      <c r="CB63" s="64"/>
      <c r="CC63" s="64"/>
      <c r="CD63" s="64" t="s">
        <v>1273</v>
      </c>
      <c r="CE63" s="64"/>
      <c r="CF63" s="64"/>
      <c r="CG63" s="64"/>
      <c r="CH63" s="64"/>
      <c r="CI63" s="64"/>
      <c r="CJ63" s="64"/>
      <c r="CK63" s="136" t="s">
        <v>1328</v>
      </c>
      <c r="CL63" s="64"/>
      <c r="CM63" s="136" t="s">
        <v>691</v>
      </c>
      <c r="CN63" s="136" t="s">
        <v>1437</v>
      </c>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row>
    <row r="64" spans="1:128" ht="15">
      <c r="A64" s="62" t="s">
        <v>923</v>
      </c>
      <c r="B64" s="62" t="s">
        <v>925</v>
      </c>
      <c r="C64" s="78" t="s">
        <v>714</v>
      </c>
      <c r="D64" s="84">
        <v>5</v>
      </c>
      <c r="E64" s="85" t="s">
        <v>131</v>
      </c>
      <c r="F64" s="86">
        <v>16</v>
      </c>
      <c r="G64" s="78"/>
      <c r="H64" s="70"/>
      <c r="I64" s="87"/>
      <c r="J64" s="87"/>
      <c r="K64" s="34" t="s">
        <v>65</v>
      </c>
      <c r="L64" s="103">
        <v>64</v>
      </c>
      <c r="M64" s="103"/>
      <c r="N64" s="89"/>
      <c r="O64" s="64" t="s">
        <v>966</v>
      </c>
      <c r="P64" s="110">
        <v>45179.654131944444</v>
      </c>
      <c r="Q64" s="64" t="s">
        <v>1017</v>
      </c>
      <c r="R64" s="64"/>
      <c r="S64" s="64"/>
      <c r="T64" s="64"/>
      <c r="U64" s="110">
        <v>45179.654131944444</v>
      </c>
      <c r="V64" s="111" t="str">
        <f>HYPERLINK("https://twitter.com/jeremyl99313994/status/1700897405762506833")</f>
        <v>https://twitter.com/jeremyl99313994/status/1700897405762506833</v>
      </c>
      <c r="W64" s="64"/>
      <c r="X64" s="64"/>
      <c r="Y64" s="136" t="s">
        <v>1329</v>
      </c>
      <c r="Z64" s="64"/>
      <c r="AA64" s="104">
        <v>1</v>
      </c>
      <c r="AB64" s="105"/>
      <c r="AC64" s="106"/>
      <c r="AD64" s="105"/>
      <c r="AE64" s="106"/>
      <c r="AF64" s="105"/>
      <c r="AG64" s="106"/>
      <c r="AH64" s="48"/>
      <c r="AI64" s="49"/>
      <c r="AJ64" s="48"/>
      <c r="AK64" s="107"/>
      <c r="AL64" s="111" t="str">
        <f>HYPERLINK("https://pbs.twimg.com/profile_images/1223036536028925952/FSgIEXZc_normal.jpg")</f>
        <v>https://pbs.twimg.com/profile_images/1223036536028925952/FSgIEXZc_normal.jpg</v>
      </c>
      <c r="AM64" s="64"/>
      <c r="AN64" s="64">
        <v>0</v>
      </c>
      <c r="AO64" s="64"/>
      <c r="AP64" s="64"/>
      <c r="AQ64" s="64" t="s">
        <v>1154</v>
      </c>
      <c r="AR64" s="64"/>
      <c r="AS64" s="136" t="s">
        <v>691</v>
      </c>
      <c r="AT64" s="64"/>
      <c r="AU64" s="64">
        <v>0</v>
      </c>
      <c r="AV64" s="136" t="s">
        <v>691</v>
      </c>
      <c r="AW64" s="136" t="s">
        <v>1149</v>
      </c>
      <c r="AX64" s="64"/>
      <c r="AY64" s="136" t="s">
        <v>1327</v>
      </c>
      <c r="AZ64" s="64"/>
      <c r="BA64" s="64"/>
      <c r="BB64" s="64"/>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37">
        <v>45179</v>
      </c>
      <c r="BN64" s="138" t="s">
        <v>1206</v>
      </c>
      <c r="BO64" s="48"/>
      <c r="BP64" s="49"/>
      <c r="BQ64" s="48"/>
      <c r="BR64" s="49"/>
      <c r="BS64" s="48"/>
      <c r="BT64" s="49"/>
      <c r="BU64" s="107">
        <v>1</v>
      </c>
      <c r="BV64" s="64">
        <v>0</v>
      </c>
      <c r="BW64" s="64">
        <v>278</v>
      </c>
      <c r="BX64" s="64" t="s">
        <v>1112</v>
      </c>
      <c r="BY64" s="64"/>
      <c r="BZ64" s="64"/>
      <c r="CA64" s="64"/>
      <c r="CB64" s="64"/>
      <c r="CC64" s="64"/>
      <c r="CD64" s="64"/>
      <c r="CE64" s="64"/>
      <c r="CF64" s="64"/>
      <c r="CG64" s="64"/>
      <c r="CH64" s="64"/>
      <c r="CI64" s="64"/>
      <c r="CJ64" s="64"/>
      <c r="CK64" s="136" t="s">
        <v>1327</v>
      </c>
      <c r="CL64" s="136" t="s">
        <v>1411</v>
      </c>
      <c r="CM64" s="136" t="s">
        <v>1327</v>
      </c>
      <c r="CN64" s="136" t="s">
        <v>1437</v>
      </c>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row>
    <row r="65" spans="1:128" ht="15">
      <c r="A65" s="62" t="s">
        <v>926</v>
      </c>
      <c r="B65" s="62" t="s">
        <v>926</v>
      </c>
      <c r="C65" s="78" t="s">
        <v>714</v>
      </c>
      <c r="D65" s="84">
        <v>5</v>
      </c>
      <c r="E65" s="85" t="s">
        <v>131</v>
      </c>
      <c r="F65" s="86">
        <v>16</v>
      </c>
      <c r="G65" s="78"/>
      <c r="H65" s="70"/>
      <c r="I65" s="87"/>
      <c r="J65" s="87"/>
      <c r="K65" s="34" t="s">
        <v>65</v>
      </c>
      <c r="L65" s="103">
        <v>65</v>
      </c>
      <c r="M65" s="103"/>
      <c r="N65" s="89"/>
      <c r="O65" s="64" t="s">
        <v>183</v>
      </c>
      <c r="P65" s="110">
        <v>45176.600960648146</v>
      </c>
      <c r="Q65" s="64" t="s">
        <v>1018</v>
      </c>
      <c r="R65" s="111" t="str">
        <f>HYPERLINK("https://www.craft.me/s/dbj8QJkuZ5ruTB")</f>
        <v>https://www.craft.me/s/dbj8QJkuZ5ruTB</v>
      </c>
      <c r="S65" s="64" t="s">
        <v>1092</v>
      </c>
      <c r="T65" s="136" t="s">
        <v>1072</v>
      </c>
      <c r="U65" s="110">
        <v>45176.600960648146</v>
      </c>
      <c r="V65" s="111" t="str">
        <f>HYPERLINK("https://twitter.com/jackywine/status/1699790975445749825")</f>
        <v>https://twitter.com/jackywine/status/1699790975445749825</v>
      </c>
      <c r="W65" s="64"/>
      <c r="X65" s="64"/>
      <c r="Y65" s="136" t="s">
        <v>1330</v>
      </c>
      <c r="Z65" s="64"/>
      <c r="AA65" s="104">
        <v>1</v>
      </c>
      <c r="AB65" s="105"/>
      <c r="AC65" s="106"/>
      <c r="AD65" s="105"/>
      <c r="AE65" s="106"/>
      <c r="AF65" s="105"/>
      <c r="AG65" s="106"/>
      <c r="AH65" s="48">
        <v>11</v>
      </c>
      <c r="AI65" s="49">
        <v>100</v>
      </c>
      <c r="AJ65" s="48">
        <v>11</v>
      </c>
      <c r="AK65" s="107" t="s">
        <v>1133</v>
      </c>
      <c r="AL65" s="111" t="str">
        <f>HYPERLINK("https://pbs.twimg.com/media/F5be33FagAAep9F.jpg")</f>
        <v>https://pbs.twimg.com/media/F5be33FagAAep9F.jpg</v>
      </c>
      <c r="AM65" s="64"/>
      <c r="AN65" s="64">
        <v>257</v>
      </c>
      <c r="AO65" s="64"/>
      <c r="AP65" s="64"/>
      <c r="AQ65" s="64" t="s">
        <v>1155</v>
      </c>
      <c r="AR65" s="64" t="b">
        <v>0</v>
      </c>
      <c r="AS65" s="136" t="s">
        <v>691</v>
      </c>
      <c r="AT65" s="64"/>
      <c r="AU65" s="64">
        <v>86</v>
      </c>
      <c r="AV65" s="136" t="s">
        <v>691</v>
      </c>
      <c r="AW65" s="136" t="s">
        <v>1148</v>
      </c>
      <c r="AX65" s="64"/>
      <c r="AY65" s="136" t="s">
        <v>1330</v>
      </c>
      <c r="AZ65" s="64"/>
      <c r="BA65" s="64"/>
      <c r="BB65" s="64"/>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37">
        <v>45176</v>
      </c>
      <c r="BN65" s="138" t="s">
        <v>1207</v>
      </c>
      <c r="BO65" s="48">
        <v>0</v>
      </c>
      <c r="BP65" s="49">
        <v>0</v>
      </c>
      <c r="BQ65" s="48">
        <v>0</v>
      </c>
      <c r="BR65" s="49">
        <v>0</v>
      </c>
      <c r="BS65" s="48">
        <v>0</v>
      </c>
      <c r="BT65" s="49">
        <v>0</v>
      </c>
      <c r="BU65" s="107">
        <v>10</v>
      </c>
      <c r="BV65" s="64">
        <v>4</v>
      </c>
      <c r="BW65" s="64">
        <v>28121</v>
      </c>
      <c r="BX65" s="64"/>
      <c r="BY65" s="64"/>
      <c r="BZ65" s="64" t="s">
        <v>1142</v>
      </c>
      <c r="CA65" s="64"/>
      <c r="CB65" s="64"/>
      <c r="CC65" s="64"/>
      <c r="CD65" s="64" t="s">
        <v>1274</v>
      </c>
      <c r="CE65" s="64"/>
      <c r="CF65" s="64"/>
      <c r="CG65" s="64"/>
      <c r="CH65" s="64"/>
      <c r="CI65" s="64"/>
      <c r="CJ65" s="64"/>
      <c r="CK65" s="136" t="s">
        <v>1330</v>
      </c>
      <c r="CL65" s="64"/>
      <c r="CM65" s="136" t="s">
        <v>691</v>
      </c>
      <c r="CN65" s="136" t="s">
        <v>1412</v>
      </c>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row>
    <row r="66" spans="1:128" ht="15">
      <c r="A66" s="62" t="s">
        <v>923</v>
      </c>
      <c r="B66" s="62" t="s">
        <v>926</v>
      </c>
      <c r="C66" s="78" t="s">
        <v>714</v>
      </c>
      <c r="D66" s="84">
        <v>5</v>
      </c>
      <c r="E66" s="85" t="s">
        <v>131</v>
      </c>
      <c r="F66" s="86">
        <v>16</v>
      </c>
      <c r="G66" s="78"/>
      <c r="H66" s="70"/>
      <c r="I66" s="87"/>
      <c r="J66" s="87"/>
      <c r="K66" s="34" t="s">
        <v>65</v>
      </c>
      <c r="L66" s="103">
        <v>66</v>
      </c>
      <c r="M66" s="103"/>
      <c r="N66" s="89"/>
      <c r="O66" s="64" t="s">
        <v>965</v>
      </c>
      <c r="P66" s="110">
        <v>45177.17626157407</v>
      </c>
      <c r="Q66" s="64" t="s">
        <v>1019</v>
      </c>
      <c r="R66" s="111" t="str">
        <f>HYPERLINK("https://www.craft.me/s/dbj8QJkuZ5ruTB")</f>
        <v>https://www.craft.me/s/dbj8QJkuZ5ruTB</v>
      </c>
      <c r="S66" s="64" t="s">
        <v>1092</v>
      </c>
      <c r="T66" s="136" t="s">
        <v>1072</v>
      </c>
      <c r="U66" s="110">
        <v>45177.17626157407</v>
      </c>
      <c r="V66" s="111" t="str">
        <f>HYPERLINK("https://twitter.com/jeremyl99313994/status/1699999458120097874")</f>
        <v>https://twitter.com/jeremyl99313994/status/1699999458120097874</v>
      </c>
      <c r="W66" s="64"/>
      <c r="X66" s="64"/>
      <c r="Y66" s="136" t="s">
        <v>1331</v>
      </c>
      <c r="Z66" s="64"/>
      <c r="AA66" s="104">
        <v>1</v>
      </c>
      <c r="AB66" s="105"/>
      <c r="AC66" s="106"/>
      <c r="AD66" s="105"/>
      <c r="AE66" s="106"/>
      <c r="AF66" s="105"/>
      <c r="AG66" s="106"/>
      <c r="AH66" s="48">
        <v>12</v>
      </c>
      <c r="AI66" s="49">
        <v>92.3076923076923</v>
      </c>
      <c r="AJ66" s="48">
        <v>13</v>
      </c>
      <c r="AK66" s="107"/>
      <c r="AL66" s="111" t="str">
        <f>HYPERLINK("https://pbs.twimg.com/profile_images/1223036536028925952/FSgIEXZc_normal.jpg")</f>
        <v>https://pbs.twimg.com/profile_images/1223036536028925952/FSgIEXZc_normal.jpg</v>
      </c>
      <c r="AM66" s="64"/>
      <c r="AN66" s="64">
        <v>0</v>
      </c>
      <c r="AO66" s="64"/>
      <c r="AP66" s="64"/>
      <c r="AQ66" s="64" t="s">
        <v>1155</v>
      </c>
      <c r="AR66" s="64" t="b">
        <v>0</v>
      </c>
      <c r="AS66" s="136" t="s">
        <v>691</v>
      </c>
      <c r="AT66" s="64"/>
      <c r="AU66" s="64">
        <v>86</v>
      </c>
      <c r="AV66" s="136" t="s">
        <v>1330</v>
      </c>
      <c r="AW66" s="136" t="s">
        <v>1149</v>
      </c>
      <c r="AX66" s="64"/>
      <c r="AY66" s="136" t="s">
        <v>1330</v>
      </c>
      <c r="AZ66" s="64"/>
      <c r="BA66" s="64"/>
      <c r="BB66" s="64"/>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1</v>
      </c>
      <c r="BM66" s="137">
        <v>45177</v>
      </c>
      <c r="BN66" s="138" t="s">
        <v>1208</v>
      </c>
      <c r="BO66" s="48">
        <v>0</v>
      </c>
      <c r="BP66" s="49">
        <v>0</v>
      </c>
      <c r="BQ66" s="48">
        <v>0</v>
      </c>
      <c r="BR66" s="49">
        <v>0</v>
      </c>
      <c r="BS66" s="48">
        <v>0</v>
      </c>
      <c r="BT66" s="49">
        <v>0</v>
      </c>
      <c r="BU66" s="107">
        <v>0</v>
      </c>
      <c r="BV66" s="64">
        <v>0</v>
      </c>
      <c r="BW66" s="64"/>
      <c r="BX66" s="64" t="s">
        <v>926</v>
      </c>
      <c r="BY66" s="64"/>
      <c r="BZ66" s="64"/>
      <c r="CA66" s="64"/>
      <c r="CB66" s="64"/>
      <c r="CC66" s="64"/>
      <c r="CD66" s="64"/>
      <c r="CE66" s="64"/>
      <c r="CF66" s="64"/>
      <c r="CG66" s="64"/>
      <c r="CH66" s="64"/>
      <c r="CI66" s="64"/>
      <c r="CJ66" s="64"/>
      <c r="CK66" s="136" t="s">
        <v>1331</v>
      </c>
      <c r="CL66" s="64"/>
      <c r="CM66" s="136" t="s">
        <v>691</v>
      </c>
      <c r="CN66" s="136" t="s">
        <v>1437</v>
      </c>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row>
    <row r="67" spans="1:128" ht="15">
      <c r="A67" s="62" t="s">
        <v>923</v>
      </c>
      <c r="B67" s="62" t="s">
        <v>926</v>
      </c>
      <c r="C67" s="78" t="s">
        <v>900</v>
      </c>
      <c r="D67" s="84">
        <v>7.5</v>
      </c>
      <c r="E67" s="85" t="s">
        <v>135</v>
      </c>
      <c r="F67" s="86">
        <v>15.23076923076923</v>
      </c>
      <c r="G67" s="78"/>
      <c r="H67" s="70"/>
      <c r="I67" s="87"/>
      <c r="J67" s="87"/>
      <c r="K67" s="34" t="s">
        <v>65</v>
      </c>
      <c r="L67" s="103">
        <v>67</v>
      </c>
      <c r="M67" s="103"/>
      <c r="N67" s="89"/>
      <c r="O67" s="64" t="s">
        <v>966</v>
      </c>
      <c r="P67" s="110">
        <v>45177.17633101852</v>
      </c>
      <c r="Q67" s="64" t="s">
        <v>1020</v>
      </c>
      <c r="R67" s="64"/>
      <c r="S67" s="64"/>
      <c r="T67" s="64"/>
      <c r="U67" s="110">
        <v>45177.17633101852</v>
      </c>
      <c r="V67" s="111" t="str">
        <f>HYPERLINK("https://twitter.com/jeremyl99313994/status/1699999483122340141")</f>
        <v>https://twitter.com/jeremyl99313994/status/1699999483122340141</v>
      </c>
      <c r="W67" s="64"/>
      <c r="X67" s="64"/>
      <c r="Y67" s="136" t="s">
        <v>1332</v>
      </c>
      <c r="Z67" s="64"/>
      <c r="AA67" s="104">
        <v>2</v>
      </c>
      <c r="AB67" s="105"/>
      <c r="AC67" s="106"/>
      <c r="AD67" s="105"/>
      <c r="AE67" s="106"/>
      <c r="AF67" s="105"/>
      <c r="AG67" s="106"/>
      <c r="AH67" s="48"/>
      <c r="AI67" s="49"/>
      <c r="AJ67" s="48"/>
      <c r="AK67" s="107"/>
      <c r="AL67" s="111" t="str">
        <f>HYPERLINK("https://pbs.twimg.com/profile_images/1223036536028925952/FSgIEXZc_normal.jpg")</f>
        <v>https://pbs.twimg.com/profile_images/1223036536028925952/FSgIEXZc_normal.jpg</v>
      </c>
      <c r="AM67" s="64"/>
      <c r="AN67" s="64">
        <v>0</v>
      </c>
      <c r="AO67" s="64"/>
      <c r="AP67" s="64"/>
      <c r="AQ67" s="64" t="s">
        <v>1154</v>
      </c>
      <c r="AR67" s="64"/>
      <c r="AS67" s="136" t="s">
        <v>691</v>
      </c>
      <c r="AT67" s="64"/>
      <c r="AU67" s="64">
        <v>0</v>
      </c>
      <c r="AV67" s="136" t="s">
        <v>691</v>
      </c>
      <c r="AW67" s="136" t="s">
        <v>1149</v>
      </c>
      <c r="AX67" s="64"/>
      <c r="AY67" s="136" t="s">
        <v>1330</v>
      </c>
      <c r="AZ67" s="64"/>
      <c r="BA67" s="64"/>
      <c r="BB67" s="64"/>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37">
        <v>45177</v>
      </c>
      <c r="BN67" s="138" t="s">
        <v>1209</v>
      </c>
      <c r="BO67" s="48"/>
      <c r="BP67" s="49"/>
      <c r="BQ67" s="48"/>
      <c r="BR67" s="49"/>
      <c r="BS67" s="48"/>
      <c r="BT67" s="49"/>
      <c r="BU67" s="107">
        <v>0</v>
      </c>
      <c r="BV67" s="64">
        <v>0</v>
      </c>
      <c r="BW67" s="64">
        <v>252</v>
      </c>
      <c r="BX67" s="64" t="s">
        <v>1113</v>
      </c>
      <c r="BY67" s="64"/>
      <c r="BZ67" s="64"/>
      <c r="CA67" s="64"/>
      <c r="CB67" s="64"/>
      <c r="CC67" s="64"/>
      <c r="CD67" s="64"/>
      <c r="CE67" s="64"/>
      <c r="CF67" s="64"/>
      <c r="CG67" s="64"/>
      <c r="CH67" s="64"/>
      <c r="CI67" s="64"/>
      <c r="CJ67" s="64"/>
      <c r="CK67" s="136" t="s">
        <v>1330</v>
      </c>
      <c r="CL67" s="136" t="s">
        <v>1412</v>
      </c>
      <c r="CM67" s="136" t="s">
        <v>1330</v>
      </c>
      <c r="CN67" s="136" t="s">
        <v>1437</v>
      </c>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row>
    <row r="68" spans="1:128" ht="15">
      <c r="A68" s="62" t="s">
        <v>923</v>
      </c>
      <c r="B68" s="62" t="s">
        <v>926</v>
      </c>
      <c r="C68" s="78" t="s">
        <v>900</v>
      </c>
      <c r="D68" s="84">
        <v>7.5</v>
      </c>
      <c r="E68" s="85" t="s">
        <v>135</v>
      </c>
      <c r="F68" s="86">
        <v>15.23076923076923</v>
      </c>
      <c r="G68" s="78"/>
      <c r="H68" s="70"/>
      <c r="I68" s="87"/>
      <c r="J68" s="87"/>
      <c r="K68" s="34" t="s">
        <v>65</v>
      </c>
      <c r="L68" s="103">
        <v>68</v>
      </c>
      <c r="M68" s="103"/>
      <c r="N68" s="89"/>
      <c r="O68" s="64" t="s">
        <v>966</v>
      </c>
      <c r="P68" s="110">
        <v>45178.02071759259</v>
      </c>
      <c r="Q68" s="64" t="s">
        <v>1020</v>
      </c>
      <c r="R68" s="64"/>
      <c r="S68" s="64"/>
      <c r="T68" s="64"/>
      <c r="U68" s="110">
        <v>45178.02071759259</v>
      </c>
      <c r="V68" s="111" t="str">
        <f>HYPERLINK("https://twitter.com/jeremyl99313994/status/1700305478230933733")</f>
        <v>https://twitter.com/jeremyl99313994/status/1700305478230933733</v>
      </c>
      <c r="W68" s="64"/>
      <c r="X68" s="64"/>
      <c r="Y68" s="136" t="s">
        <v>1333</v>
      </c>
      <c r="Z68" s="64"/>
      <c r="AA68" s="104">
        <v>2</v>
      </c>
      <c r="AB68" s="105"/>
      <c r="AC68" s="106"/>
      <c r="AD68" s="105"/>
      <c r="AE68" s="106"/>
      <c r="AF68" s="105"/>
      <c r="AG68" s="106"/>
      <c r="AH68" s="48"/>
      <c r="AI68" s="49"/>
      <c r="AJ68" s="48"/>
      <c r="AK68" s="107"/>
      <c r="AL68" s="111" t="str">
        <f>HYPERLINK("https://pbs.twimg.com/profile_images/1223036536028925952/FSgIEXZc_normal.jpg")</f>
        <v>https://pbs.twimg.com/profile_images/1223036536028925952/FSgIEXZc_normal.jpg</v>
      </c>
      <c r="AM68" s="64"/>
      <c r="AN68" s="64">
        <v>0</v>
      </c>
      <c r="AO68" s="64"/>
      <c r="AP68" s="64"/>
      <c r="AQ68" s="64" t="s">
        <v>1154</v>
      </c>
      <c r="AR68" s="64"/>
      <c r="AS68" s="136" t="s">
        <v>691</v>
      </c>
      <c r="AT68" s="64"/>
      <c r="AU68" s="64">
        <v>0</v>
      </c>
      <c r="AV68" s="136" t="s">
        <v>691</v>
      </c>
      <c r="AW68" s="136" t="s">
        <v>1149</v>
      </c>
      <c r="AX68" s="64"/>
      <c r="AY68" s="136" t="s">
        <v>1330</v>
      </c>
      <c r="AZ68" s="64"/>
      <c r="BA68" s="64"/>
      <c r="BB68" s="64"/>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1</v>
      </c>
      <c r="BM68" s="137">
        <v>45178</v>
      </c>
      <c r="BN68" s="138" t="s">
        <v>1210</v>
      </c>
      <c r="BO68" s="48"/>
      <c r="BP68" s="49"/>
      <c r="BQ68" s="48"/>
      <c r="BR68" s="49"/>
      <c r="BS68" s="48"/>
      <c r="BT68" s="49"/>
      <c r="BU68" s="107">
        <v>0</v>
      </c>
      <c r="BV68" s="64">
        <v>0</v>
      </c>
      <c r="BW68" s="64">
        <v>39</v>
      </c>
      <c r="BX68" s="64" t="s">
        <v>1113</v>
      </c>
      <c r="BY68" s="64"/>
      <c r="BZ68" s="64"/>
      <c r="CA68" s="64"/>
      <c r="CB68" s="64"/>
      <c r="CC68" s="64"/>
      <c r="CD68" s="64"/>
      <c r="CE68" s="64"/>
      <c r="CF68" s="64"/>
      <c r="CG68" s="64"/>
      <c r="CH68" s="64"/>
      <c r="CI68" s="64"/>
      <c r="CJ68" s="64"/>
      <c r="CK68" s="136" t="s">
        <v>1330</v>
      </c>
      <c r="CL68" s="136" t="s">
        <v>1412</v>
      </c>
      <c r="CM68" s="136" t="s">
        <v>1330</v>
      </c>
      <c r="CN68" s="136" t="s">
        <v>1437</v>
      </c>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row>
    <row r="69" spans="1:128" ht="15">
      <c r="A69" s="62" t="s">
        <v>927</v>
      </c>
      <c r="B69" s="62" t="s">
        <v>927</v>
      </c>
      <c r="C69" s="78" t="s">
        <v>714</v>
      </c>
      <c r="D69" s="84">
        <v>5</v>
      </c>
      <c r="E69" s="85" t="s">
        <v>131</v>
      </c>
      <c r="F69" s="86">
        <v>16</v>
      </c>
      <c r="G69" s="78"/>
      <c r="H69" s="70"/>
      <c r="I69" s="87"/>
      <c r="J69" s="87"/>
      <c r="K69" s="34" t="s">
        <v>65</v>
      </c>
      <c r="L69" s="103">
        <v>69</v>
      </c>
      <c r="M69" s="103"/>
      <c r="N69" s="89"/>
      <c r="O69" s="64" t="s">
        <v>183</v>
      </c>
      <c r="P69" s="110">
        <v>45180.71144675926</v>
      </c>
      <c r="Q69" s="64" t="s">
        <v>1021</v>
      </c>
      <c r="R69" s="64"/>
      <c r="S69" s="64"/>
      <c r="T69" s="64"/>
      <c r="U69" s="110">
        <v>45180.71144675926</v>
      </c>
      <c r="V69" s="111" t="str">
        <f>HYPERLINK("https://twitter.com/gia917229015/status/1701280562789622205")</f>
        <v>https://twitter.com/gia917229015/status/1701280562789622205</v>
      </c>
      <c r="W69" s="64"/>
      <c r="X69" s="64"/>
      <c r="Y69" s="136" t="s">
        <v>1334</v>
      </c>
      <c r="Z69" s="64"/>
      <c r="AA69" s="104">
        <v>1</v>
      </c>
      <c r="AB69" s="105"/>
      <c r="AC69" s="106"/>
      <c r="AD69" s="105"/>
      <c r="AE69" s="106"/>
      <c r="AF69" s="105"/>
      <c r="AG69" s="106"/>
      <c r="AH69" s="48">
        <v>8</v>
      </c>
      <c r="AI69" s="49">
        <v>80</v>
      </c>
      <c r="AJ69" s="48">
        <v>10</v>
      </c>
      <c r="AK69" s="107"/>
      <c r="AL69" s="111" t="str">
        <f>HYPERLINK("https://pbs.twimg.com/profile_images/1552319982956154880/ovry18-I_normal.png")</f>
        <v>https://pbs.twimg.com/profile_images/1552319982956154880/ovry18-I_normal.png</v>
      </c>
      <c r="AM69" s="64"/>
      <c r="AN69" s="64">
        <v>801</v>
      </c>
      <c r="AO69" s="64"/>
      <c r="AP69" s="64"/>
      <c r="AQ69" s="64" t="s">
        <v>1155</v>
      </c>
      <c r="AR69" s="64"/>
      <c r="AS69" s="136" t="s">
        <v>691</v>
      </c>
      <c r="AT69" s="64"/>
      <c r="AU69" s="64">
        <v>151</v>
      </c>
      <c r="AV69" s="136" t="s">
        <v>691</v>
      </c>
      <c r="AW69" s="136" t="s">
        <v>1148</v>
      </c>
      <c r="AX69" s="64"/>
      <c r="AY69" s="136" t="s">
        <v>1334</v>
      </c>
      <c r="AZ69" s="64"/>
      <c r="BA69" s="64"/>
      <c r="BB69" s="64"/>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1</v>
      </c>
      <c r="BM69" s="137">
        <v>45180</v>
      </c>
      <c r="BN69" s="138" t="s">
        <v>1211</v>
      </c>
      <c r="BO69" s="48">
        <v>0</v>
      </c>
      <c r="BP69" s="49">
        <v>0</v>
      </c>
      <c r="BQ69" s="48">
        <v>0</v>
      </c>
      <c r="BR69" s="49">
        <v>0</v>
      </c>
      <c r="BS69" s="48">
        <v>0</v>
      </c>
      <c r="BT69" s="49">
        <v>0</v>
      </c>
      <c r="BU69" s="107">
        <v>16</v>
      </c>
      <c r="BV69" s="64">
        <v>3</v>
      </c>
      <c r="BW69" s="64">
        <v>98556</v>
      </c>
      <c r="BX69" s="64"/>
      <c r="BY69" s="64"/>
      <c r="BZ69" s="64"/>
      <c r="CA69" s="64"/>
      <c r="CB69" s="64"/>
      <c r="CC69" s="64"/>
      <c r="CD69" s="64"/>
      <c r="CE69" s="64"/>
      <c r="CF69" s="64"/>
      <c r="CG69" s="64"/>
      <c r="CH69" s="64"/>
      <c r="CI69" s="64"/>
      <c r="CJ69" s="64"/>
      <c r="CK69" s="136" t="s">
        <v>1334</v>
      </c>
      <c r="CL69" s="64"/>
      <c r="CM69" s="136" t="s">
        <v>691</v>
      </c>
      <c r="CN69" s="136" t="s">
        <v>1413</v>
      </c>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row>
    <row r="70" spans="1:128" ht="15">
      <c r="A70" s="62" t="s">
        <v>923</v>
      </c>
      <c r="B70" s="62" t="s">
        <v>927</v>
      </c>
      <c r="C70" s="78" t="s">
        <v>714</v>
      </c>
      <c r="D70" s="84">
        <v>5</v>
      </c>
      <c r="E70" s="85" t="s">
        <v>131</v>
      </c>
      <c r="F70" s="86">
        <v>16</v>
      </c>
      <c r="G70" s="78"/>
      <c r="H70" s="70"/>
      <c r="I70" s="87"/>
      <c r="J70" s="87"/>
      <c r="K70" s="34" t="s">
        <v>65</v>
      </c>
      <c r="L70" s="103">
        <v>70</v>
      </c>
      <c r="M70" s="103"/>
      <c r="N70" s="89"/>
      <c r="O70" s="64" t="s">
        <v>965</v>
      </c>
      <c r="P70" s="110">
        <v>45181.46104166667</v>
      </c>
      <c r="Q70" s="64" t="s">
        <v>1022</v>
      </c>
      <c r="R70" s="64"/>
      <c r="S70" s="64"/>
      <c r="T70" s="64"/>
      <c r="U70" s="110">
        <v>45181.46104166667</v>
      </c>
      <c r="V70" s="111" t="str">
        <f>HYPERLINK("https://twitter.com/jeremyl99313994/status/1701552209870086427")</f>
        <v>https://twitter.com/jeremyl99313994/status/1701552209870086427</v>
      </c>
      <c r="W70" s="64"/>
      <c r="X70" s="64"/>
      <c r="Y70" s="136" t="s">
        <v>1335</v>
      </c>
      <c r="Z70" s="64"/>
      <c r="AA70" s="104">
        <v>1</v>
      </c>
      <c r="AB70" s="105"/>
      <c r="AC70" s="106"/>
      <c r="AD70" s="105"/>
      <c r="AE70" s="106"/>
      <c r="AF70" s="105"/>
      <c r="AG70" s="106"/>
      <c r="AH70" s="48">
        <v>9</v>
      </c>
      <c r="AI70" s="49">
        <v>75</v>
      </c>
      <c r="AJ70" s="48">
        <v>12</v>
      </c>
      <c r="AK70" s="107"/>
      <c r="AL70" s="111" t="str">
        <f>HYPERLINK("https://pbs.twimg.com/profile_images/1223036536028925952/FSgIEXZc_normal.jpg")</f>
        <v>https://pbs.twimg.com/profile_images/1223036536028925952/FSgIEXZc_normal.jpg</v>
      </c>
      <c r="AM70" s="64"/>
      <c r="AN70" s="64">
        <v>0</v>
      </c>
      <c r="AO70" s="64"/>
      <c r="AP70" s="64"/>
      <c r="AQ70" s="64" t="s">
        <v>1155</v>
      </c>
      <c r="AR70" s="64"/>
      <c r="AS70" s="136" t="s">
        <v>691</v>
      </c>
      <c r="AT70" s="64"/>
      <c r="AU70" s="64">
        <v>151</v>
      </c>
      <c r="AV70" s="136" t="s">
        <v>1334</v>
      </c>
      <c r="AW70" s="136" t="s">
        <v>1149</v>
      </c>
      <c r="AX70" s="64"/>
      <c r="AY70" s="136" t="s">
        <v>1334</v>
      </c>
      <c r="AZ70" s="64"/>
      <c r="BA70" s="64"/>
      <c r="BB70" s="64"/>
      <c r="BC70" s="64"/>
      <c r="BD70" s="64"/>
      <c r="BE70" s="64"/>
      <c r="BF70" s="64"/>
      <c r="BG70" s="64"/>
      <c r="BH70" s="64"/>
      <c r="BI70" s="64"/>
      <c r="BJ70" s="64"/>
      <c r="BK70" s="63" t="str">
        <f>REPLACE(INDEX(GroupVertices[Group],MATCH(Edges[[#This Row],[Vertex 1]],GroupVertices[Vertex],0)),1,1,"")</f>
        <v>1</v>
      </c>
      <c r="BL70" s="63" t="str">
        <f>REPLACE(INDEX(GroupVertices[Group],MATCH(Edges[[#This Row],[Vertex 2]],GroupVertices[Vertex],0)),1,1,"")</f>
        <v>1</v>
      </c>
      <c r="BM70" s="137">
        <v>45181</v>
      </c>
      <c r="BN70" s="138" t="s">
        <v>1212</v>
      </c>
      <c r="BO70" s="48">
        <v>0</v>
      </c>
      <c r="BP70" s="49">
        <v>0</v>
      </c>
      <c r="BQ70" s="48">
        <v>0</v>
      </c>
      <c r="BR70" s="49">
        <v>0</v>
      </c>
      <c r="BS70" s="48">
        <v>0</v>
      </c>
      <c r="BT70" s="49">
        <v>0</v>
      </c>
      <c r="BU70" s="107">
        <v>0</v>
      </c>
      <c r="BV70" s="64">
        <v>0</v>
      </c>
      <c r="BW70" s="64"/>
      <c r="BX70" s="64" t="s">
        <v>927</v>
      </c>
      <c r="BY70" s="64"/>
      <c r="BZ70" s="64"/>
      <c r="CA70" s="64"/>
      <c r="CB70" s="64"/>
      <c r="CC70" s="64"/>
      <c r="CD70" s="64"/>
      <c r="CE70" s="64"/>
      <c r="CF70" s="64"/>
      <c r="CG70" s="64"/>
      <c r="CH70" s="64"/>
      <c r="CI70" s="64"/>
      <c r="CJ70" s="64"/>
      <c r="CK70" s="136" t="s">
        <v>1335</v>
      </c>
      <c r="CL70" s="64"/>
      <c r="CM70" s="136" t="s">
        <v>691</v>
      </c>
      <c r="CN70" s="136" t="s">
        <v>1437</v>
      </c>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row>
    <row r="71" spans="1:128" ht="15">
      <c r="A71" s="62" t="s">
        <v>923</v>
      </c>
      <c r="B71" s="62" t="s">
        <v>927</v>
      </c>
      <c r="C71" s="78" t="s">
        <v>714</v>
      </c>
      <c r="D71" s="84">
        <v>5</v>
      </c>
      <c r="E71" s="85" t="s">
        <v>131</v>
      </c>
      <c r="F71" s="86">
        <v>16</v>
      </c>
      <c r="G71" s="78"/>
      <c r="H71" s="70"/>
      <c r="I71" s="87"/>
      <c r="J71" s="87"/>
      <c r="K71" s="34" t="s">
        <v>65</v>
      </c>
      <c r="L71" s="103">
        <v>71</v>
      </c>
      <c r="M71" s="103"/>
      <c r="N71" s="89"/>
      <c r="O71" s="64" t="s">
        <v>966</v>
      </c>
      <c r="P71" s="110">
        <v>45181.46109953704</v>
      </c>
      <c r="Q71" s="64" t="s">
        <v>1023</v>
      </c>
      <c r="R71" s="64"/>
      <c r="S71" s="64"/>
      <c r="T71" s="64"/>
      <c r="U71" s="110">
        <v>45181.46109953704</v>
      </c>
      <c r="V71" s="111" t="str">
        <f>HYPERLINK("https://twitter.com/jeremyl99313994/status/1701552230913261834")</f>
        <v>https://twitter.com/jeremyl99313994/status/1701552230913261834</v>
      </c>
      <c r="W71" s="64"/>
      <c r="X71" s="64"/>
      <c r="Y71" s="136" t="s">
        <v>1336</v>
      </c>
      <c r="Z71" s="64"/>
      <c r="AA71" s="104">
        <v>1</v>
      </c>
      <c r="AB71" s="105"/>
      <c r="AC71" s="106"/>
      <c r="AD71" s="105"/>
      <c r="AE71" s="106"/>
      <c r="AF71" s="105"/>
      <c r="AG71" s="106"/>
      <c r="AH71" s="48"/>
      <c r="AI71" s="49"/>
      <c r="AJ71" s="48"/>
      <c r="AK71" s="107"/>
      <c r="AL71" s="111" t="str">
        <f>HYPERLINK("https://pbs.twimg.com/profile_images/1223036536028925952/FSgIEXZc_normal.jpg")</f>
        <v>https://pbs.twimg.com/profile_images/1223036536028925952/FSgIEXZc_normal.jpg</v>
      </c>
      <c r="AM71" s="64"/>
      <c r="AN71" s="64">
        <v>0</v>
      </c>
      <c r="AO71" s="64"/>
      <c r="AP71" s="64"/>
      <c r="AQ71" s="64" t="s">
        <v>1154</v>
      </c>
      <c r="AR71" s="64"/>
      <c r="AS71" s="136" t="s">
        <v>691</v>
      </c>
      <c r="AT71" s="64"/>
      <c r="AU71" s="64">
        <v>0</v>
      </c>
      <c r="AV71" s="136" t="s">
        <v>691</v>
      </c>
      <c r="AW71" s="136" t="s">
        <v>1149</v>
      </c>
      <c r="AX71" s="64"/>
      <c r="AY71" s="136" t="s">
        <v>1334</v>
      </c>
      <c r="AZ71" s="64"/>
      <c r="BA71" s="64"/>
      <c r="BB71" s="64"/>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1</v>
      </c>
      <c r="BM71" s="137">
        <v>45181</v>
      </c>
      <c r="BN71" s="138" t="s">
        <v>1213</v>
      </c>
      <c r="BO71" s="48"/>
      <c r="BP71" s="49"/>
      <c r="BQ71" s="48"/>
      <c r="BR71" s="49"/>
      <c r="BS71" s="48"/>
      <c r="BT71" s="49"/>
      <c r="BU71" s="107">
        <v>1</v>
      </c>
      <c r="BV71" s="64">
        <v>0</v>
      </c>
      <c r="BW71" s="64">
        <v>903</v>
      </c>
      <c r="BX71" s="64" t="s">
        <v>1114</v>
      </c>
      <c r="BY71" s="64"/>
      <c r="BZ71" s="64"/>
      <c r="CA71" s="64"/>
      <c r="CB71" s="64"/>
      <c r="CC71" s="64"/>
      <c r="CD71" s="64"/>
      <c r="CE71" s="64"/>
      <c r="CF71" s="64"/>
      <c r="CG71" s="64"/>
      <c r="CH71" s="64"/>
      <c r="CI71" s="64"/>
      <c r="CJ71" s="64"/>
      <c r="CK71" s="136" t="s">
        <v>1334</v>
      </c>
      <c r="CL71" s="136" t="s">
        <v>1413</v>
      </c>
      <c r="CM71" s="136" t="s">
        <v>1334</v>
      </c>
      <c r="CN71" s="136" t="s">
        <v>1437</v>
      </c>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row>
    <row r="72" spans="1:128" ht="15">
      <c r="A72" s="62" t="s">
        <v>923</v>
      </c>
      <c r="B72" s="62" t="s">
        <v>957</v>
      </c>
      <c r="C72" s="78" t="s">
        <v>900</v>
      </c>
      <c r="D72" s="84">
        <v>7.5</v>
      </c>
      <c r="E72" s="85" t="s">
        <v>135</v>
      </c>
      <c r="F72" s="86">
        <v>15.23076923076923</v>
      </c>
      <c r="G72" s="78"/>
      <c r="H72" s="70"/>
      <c r="I72" s="87"/>
      <c r="J72" s="87"/>
      <c r="K72" s="34" t="s">
        <v>65</v>
      </c>
      <c r="L72" s="103">
        <v>72</v>
      </c>
      <c r="M72" s="103"/>
      <c r="N72" s="89"/>
      <c r="O72" s="64" t="s">
        <v>966</v>
      </c>
      <c r="P72" s="110">
        <v>45176.00164351852</v>
      </c>
      <c r="Q72" s="64" t="s">
        <v>1024</v>
      </c>
      <c r="R72" s="64"/>
      <c r="S72" s="64"/>
      <c r="T72" s="64"/>
      <c r="U72" s="110">
        <v>45176.00164351852</v>
      </c>
      <c r="V72" s="111" t="str">
        <f>HYPERLINK("https://twitter.com/jeremyl99313994/status/1699573789959606683")</f>
        <v>https://twitter.com/jeremyl99313994/status/1699573789959606683</v>
      </c>
      <c r="W72" s="64"/>
      <c r="X72" s="64"/>
      <c r="Y72" s="136" t="s">
        <v>1337</v>
      </c>
      <c r="Z72" s="64"/>
      <c r="AA72" s="104">
        <v>2</v>
      </c>
      <c r="AB72" s="105"/>
      <c r="AC72" s="106"/>
      <c r="AD72" s="105"/>
      <c r="AE72" s="106"/>
      <c r="AF72" s="105"/>
      <c r="AG72" s="106"/>
      <c r="AH72" s="48"/>
      <c r="AI72" s="49"/>
      <c r="AJ72" s="48"/>
      <c r="AK72" s="107"/>
      <c r="AL72" s="111" t="str">
        <f>HYPERLINK("https://pbs.twimg.com/profile_images/1223036536028925952/FSgIEXZc_normal.jpg")</f>
        <v>https://pbs.twimg.com/profile_images/1223036536028925952/FSgIEXZc_normal.jpg</v>
      </c>
      <c r="AM72" s="64"/>
      <c r="AN72" s="64">
        <v>0</v>
      </c>
      <c r="AO72" s="64"/>
      <c r="AP72" s="64"/>
      <c r="AQ72" s="64" t="s">
        <v>1154</v>
      </c>
      <c r="AR72" s="64"/>
      <c r="AS72" s="136" t="s">
        <v>691</v>
      </c>
      <c r="AT72" s="64"/>
      <c r="AU72" s="64">
        <v>0</v>
      </c>
      <c r="AV72" s="136" t="s">
        <v>691</v>
      </c>
      <c r="AW72" s="136" t="s">
        <v>1149</v>
      </c>
      <c r="AX72" s="64"/>
      <c r="AY72" s="136" t="s">
        <v>1396</v>
      </c>
      <c r="AZ72" s="64"/>
      <c r="BA72" s="64"/>
      <c r="BB72" s="64"/>
      <c r="BC72" s="64"/>
      <c r="BD72" s="64"/>
      <c r="BE72" s="64"/>
      <c r="BF72" s="64"/>
      <c r="BG72" s="64"/>
      <c r="BH72" s="64"/>
      <c r="BI72" s="64"/>
      <c r="BJ72" s="64"/>
      <c r="BK72" s="63" t="str">
        <f>REPLACE(INDEX(GroupVertices[Group],MATCH(Edges[[#This Row],[Vertex 1]],GroupVertices[Vertex],0)),1,1,"")</f>
        <v>1</v>
      </c>
      <c r="BL72" s="63" t="str">
        <f>REPLACE(INDEX(GroupVertices[Group],MATCH(Edges[[#This Row],[Vertex 2]],GroupVertices[Vertex],0)),1,1,"")</f>
        <v>1</v>
      </c>
      <c r="BM72" s="137">
        <v>45176</v>
      </c>
      <c r="BN72" s="138" t="s">
        <v>1214</v>
      </c>
      <c r="BO72" s="48"/>
      <c r="BP72" s="49"/>
      <c r="BQ72" s="48"/>
      <c r="BR72" s="49"/>
      <c r="BS72" s="48"/>
      <c r="BT72" s="49"/>
      <c r="BU72" s="107">
        <v>1</v>
      </c>
      <c r="BV72" s="64">
        <v>0</v>
      </c>
      <c r="BW72" s="64">
        <v>2359</v>
      </c>
      <c r="BX72" s="64" t="s">
        <v>1115</v>
      </c>
      <c r="BY72" s="64"/>
      <c r="BZ72" s="64"/>
      <c r="CA72" s="64"/>
      <c r="CB72" s="64"/>
      <c r="CC72" s="64"/>
      <c r="CD72" s="64"/>
      <c r="CE72" s="64"/>
      <c r="CF72" s="64"/>
      <c r="CG72" s="64"/>
      <c r="CH72" s="64"/>
      <c r="CI72" s="64"/>
      <c r="CJ72" s="64"/>
      <c r="CK72" s="136" t="s">
        <v>1396</v>
      </c>
      <c r="CL72" s="136" t="s">
        <v>1414</v>
      </c>
      <c r="CM72" s="136" t="s">
        <v>1396</v>
      </c>
      <c r="CN72" s="136" t="s">
        <v>1437</v>
      </c>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row>
    <row r="73" spans="1:128" ht="15">
      <c r="A73" s="62" t="s">
        <v>923</v>
      </c>
      <c r="B73" s="62" t="s">
        <v>957</v>
      </c>
      <c r="C73" s="78" t="s">
        <v>900</v>
      </c>
      <c r="D73" s="84">
        <v>7.5</v>
      </c>
      <c r="E73" s="85" t="s">
        <v>135</v>
      </c>
      <c r="F73" s="86">
        <v>15.23076923076923</v>
      </c>
      <c r="G73" s="78"/>
      <c r="H73" s="70"/>
      <c r="I73" s="87"/>
      <c r="J73" s="87"/>
      <c r="K73" s="34" t="s">
        <v>65</v>
      </c>
      <c r="L73" s="103">
        <v>73</v>
      </c>
      <c r="M73" s="103"/>
      <c r="N73" s="89"/>
      <c r="O73" s="64" t="s">
        <v>966</v>
      </c>
      <c r="P73" s="110">
        <v>45180.97091435185</v>
      </c>
      <c r="Q73" s="64" t="s">
        <v>1024</v>
      </c>
      <c r="R73" s="64"/>
      <c r="S73" s="64"/>
      <c r="T73" s="64"/>
      <c r="U73" s="110">
        <v>45180.97091435185</v>
      </c>
      <c r="V73" s="111" t="str">
        <f>HYPERLINK("https://twitter.com/jeremyl99313994/status/1701374592928133497")</f>
        <v>https://twitter.com/jeremyl99313994/status/1701374592928133497</v>
      </c>
      <c r="W73" s="64"/>
      <c r="X73" s="64"/>
      <c r="Y73" s="136" t="s">
        <v>1338</v>
      </c>
      <c r="Z73" s="64"/>
      <c r="AA73" s="104">
        <v>2</v>
      </c>
      <c r="AB73" s="105"/>
      <c r="AC73" s="106"/>
      <c r="AD73" s="105"/>
      <c r="AE73" s="106"/>
      <c r="AF73" s="105"/>
      <c r="AG73" s="106"/>
      <c r="AH73" s="48"/>
      <c r="AI73" s="49"/>
      <c r="AJ73" s="48"/>
      <c r="AK73" s="107"/>
      <c r="AL73" s="111" t="str">
        <f>HYPERLINK("https://pbs.twimg.com/profile_images/1223036536028925952/FSgIEXZc_normal.jpg")</f>
        <v>https://pbs.twimg.com/profile_images/1223036536028925952/FSgIEXZc_normal.jpg</v>
      </c>
      <c r="AM73" s="64"/>
      <c r="AN73" s="64">
        <v>0</v>
      </c>
      <c r="AO73" s="64"/>
      <c r="AP73" s="64"/>
      <c r="AQ73" s="64" t="s">
        <v>1154</v>
      </c>
      <c r="AR73" s="64"/>
      <c r="AS73" s="136" t="s">
        <v>691</v>
      </c>
      <c r="AT73" s="64"/>
      <c r="AU73" s="64">
        <v>0</v>
      </c>
      <c r="AV73" s="136" t="s">
        <v>691</v>
      </c>
      <c r="AW73" s="136" t="s">
        <v>1149</v>
      </c>
      <c r="AX73" s="64"/>
      <c r="AY73" s="136" t="s">
        <v>1397</v>
      </c>
      <c r="AZ73" s="64"/>
      <c r="BA73" s="64"/>
      <c r="BB73" s="64"/>
      <c r="BC73" s="64"/>
      <c r="BD73" s="64"/>
      <c r="BE73" s="64"/>
      <c r="BF73" s="64"/>
      <c r="BG73" s="64"/>
      <c r="BH73" s="64"/>
      <c r="BI73" s="64"/>
      <c r="BJ73" s="64"/>
      <c r="BK73" s="63" t="str">
        <f>REPLACE(INDEX(GroupVertices[Group],MATCH(Edges[[#This Row],[Vertex 1]],GroupVertices[Vertex],0)),1,1,"")</f>
        <v>1</v>
      </c>
      <c r="BL73" s="63" t="str">
        <f>REPLACE(INDEX(GroupVertices[Group],MATCH(Edges[[#This Row],[Vertex 2]],GroupVertices[Vertex],0)),1,1,"")</f>
        <v>1</v>
      </c>
      <c r="BM73" s="137">
        <v>45180</v>
      </c>
      <c r="BN73" s="138" t="s">
        <v>1215</v>
      </c>
      <c r="BO73" s="48"/>
      <c r="BP73" s="49"/>
      <c r="BQ73" s="48"/>
      <c r="BR73" s="49"/>
      <c r="BS73" s="48"/>
      <c r="BT73" s="49"/>
      <c r="BU73" s="107">
        <v>1</v>
      </c>
      <c r="BV73" s="64">
        <v>0</v>
      </c>
      <c r="BW73" s="64">
        <v>977</v>
      </c>
      <c r="BX73" s="64" t="s">
        <v>1115</v>
      </c>
      <c r="BY73" s="64"/>
      <c r="BZ73" s="64"/>
      <c r="CA73" s="64"/>
      <c r="CB73" s="64"/>
      <c r="CC73" s="64"/>
      <c r="CD73" s="64"/>
      <c r="CE73" s="64"/>
      <c r="CF73" s="64"/>
      <c r="CG73" s="64"/>
      <c r="CH73" s="64"/>
      <c r="CI73" s="64"/>
      <c r="CJ73" s="64"/>
      <c r="CK73" s="136" t="s">
        <v>1397</v>
      </c>
      <c r="CL73" s="136" t="s">
        <v>1414</v>
      </c>
      <c r="CM73" s="136" t="s">
        <v>1397</v>
      </c>
      <c r="CN73" s="136" t="s">
        <v>1437</v>
      </c>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row>
    <row r="74" spans="1:128" ht="15">
      <c r="A74" s="62" t="s">
        <v>928</v>
      </c>
      <c r="B74" s="62" t="s">
        <v>928</v>
      </c>
      <c r="C74" s="78" t="s">
        <v>714</v>
      </c>
      <c r="D74" s="84">
        <v>5</v>
      </c>
      <c r="E74" s="85" t="s">
        <v>131</v>
      </c>
      <c r="F74" s="86">
        <v>16</v>
      </c>
      <c r="G74" s="78"/>
      <c r="H74" s="70"/>
      <c r="I74" s="87"/>
      <c r="J74" s="87"/>
      <c r="K74" s="34" t="s">
        <v>65</v>
      </c>
      <c r="L74" s="103">
        <v>74</v>
      </c>
      <c r="M74" s="103"/>
      <c r="N74" s="89"/>
      <c r="O74" s="64" t="s">
        <v>183</v>
      </c>
      <c r="P74" s="110">
        <v>45182.42024305555</v>
      </c>
      <c r="Q74" s="64" t="s">
        <v>1025</v>
      </c>
      <c r="R74" s="64"/>
      <c r="S74" s="64"/>
      <c r="T74" s="64"/>
      <c r="U74" s="110">
        <v>45182.42024305555</v>
      </c>
      <c r="V74" s="111" t="str">
        <f>HYPERLINK("https://twitter.com/punk2898/status/1701899811300200929")</f>
        <v>https://twitter.com/punk2898/status/1701899811300200929</v>
      </c>
      <c r="W74" s="64"/>
      <c r="X74" s="64"/>
      <c r="Y74" s="136" t="s">
        <v>1339</v>
      </c>
      <c r="Z74" s="64"/>
      <c r="AA74" s="104">
        <v>1</v>
      </c>
      <c r="AB74" s="105"/>
      <c r="AC74" s="106"/>
      <c r="AD74" s="105"/>
      <c r="AE74" s="106"/>
      <c r="AF74" s="105"/>
      <c r="AG74" s="106"/>
      <c r="AH74" s="48">
        <v>12</v>
      </c>
      <c r="AI74" s="49">
        <v>100</v>
      </c>
      <c r="AJ74" s="48">
        <v>12</v>
      </c>
      <c r="AK74" s="107" t="s">
        <v>1134</v>
      </c>
      <c r="AL74" s="111" t="str">
        <f>HYPERLINK("https://pbs.twimg.com/amplify_video_thumb/1701896852130668544/img/GNibFR_laP1BMkzI.jpg")</f>
        <v>https://pbs.twimg.com/amplify_video_thumb/1701896852130668544/img/GNibFR_laP1BMkzI.jpg</v>
      </c>
      <c r="AM74" s="64"/>
      <c r="AN74" s="64">
        <v>1784</v>
      </c>
      <c r="AO74" s="64"/>
      <c r="AP74" s="64"/>
      <c r="AQ74" s="64" t="s">
        <v>1155</v>
      </c>
      <c r="AR74" s="64" t="b">
        <v>0</v>
      </c>
      <c r="AS74" s="136" t="s">
        <v>691</v>
      </c>
      <c r="AT74" s="64"/>
      <c r="AU74" s="64">
        <v>737</v>
      </c>
      <c r="AV74" s="136" t="s">
        <v>691</v>
      </c>
      <c r="AW74" s="136" t="s">
        <v>1148</v>
      </c>
      <c r="AX74" s="64"/>
      <c r="AY74" s="136" t="s">
        <v>1339</v>
      </c>
      <c r="AZ74" s="64"/>
      <c r="BA74" s="64"/>
      <c r="BB74" s="64"/>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1</v>
      </c>
      <c r="BM74" s="137">
        <v>45182</v>
      </c>
      <c r="BN74" s="138" t="s">
        <v>1216</v>
      </c>
      <c r="BO74" s="48">
        <v>0</v>
      </c>
      <c r="BP74" s="49">
        <v>0</v>
      </c>
      <c r="BQ74" s="48">
        <v>0</v>
      </c>
      <c r="BR74" s="49">
        <v>0</v>
      </c>
      <c r="BS74" s="48">
        <v>0</v>
      </c>
      <c r="BT74" s="49">
        <v>0</v>
      </c>
      <c r="BU74" s="107">
        <v>45</v>
      </c>
      <c r="BV74" s="64">
        <v>22</v>
      </c>
      <c r="BW74" s="64">
        <v>90145</v>
      </c>
      <c r="BX74" s="64"/>
      <c r="BY74" s="64"/>
      <c r="BZ74" s="64" t="s">
        <v>1144</v>
      </c>
      <c r="CA74" s="64"/>
      <c r="CB74" s="64"/>
      <c r="CC74" s="64"/>
      <c r="CD74" s="64" t="s">
        <v>1275</v>
      </c>
      <c r="CE74" s="64">
        <v>1950059</v>
      </c>
      <c r="CF74" s="64"/>
      <c r="CG74" s="64"/>
      <c r="CH74" s="64">
        <v>34485</v>
      </c>
      <c r="CI74" s="64"/>
      <c r="CJ74" s="64"/>
      <c r="CK74" s="136" t="s">
        <v>1339</v>
      </c>
      <c r="CL74" s="64"/>
      <c r="CM74" s="136" t="s">
        <v>691</v>
      </c>
      <c r="CN74" s="64">
        <v>2446896679</v>
      </c>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row>
    <row r="75" spans="1:128" ht="15">
      <c r="A75" s="62" t="s">
        <v>923</v>
      </c>
      <c r="B75" s="62" t="s">
        <v>928</v>
      </c>
      <c r="C75" s="78" t="s">
        <v>714</v>
      </c>
      <c r="D75" s="84">
        <v>5</v>
      </c>
      <c r="E75" s="85" t="s">
        <v>131</v>
      </c>
      <c r="F75" s="86">
        <v>16</v>
      </c>
      <c r="G75" s="78"/>
      <c r="H75" s="70"/>
      <c r="I75" s="87"/>
      <c r="J75" s="87"/>
      <c r="K75" s="34" t="s">
        <v>65</v>
      </c>
      <c r="L75" s="103">
        <v>75</v>
      </c>
      <c r="M75" s="103"/>
      <c r="N75" s="89"/>
      <c r="O75" s="64" t="s">
        <v>966</v>
      </c>
      <c r="P75" s="110">
        <v>45182.497407407405</v>
      </c>
      <c r="Q75" s="64" t="s">
        <v>1026</v>
      </c>
      <c r="R75" s="64"/>
      <c r="S75" s="64"/>
      <c r="T75" s="64"/>
      <c r="U75" s="110">
        <v>45182.497407407405</v>
      </c>
      <c r="V75" s="111" t="str">
        <f>HYPERLINK("https://twitter.com/jeremyl99313994/status/1701927775815496085")</f>
        <v>https://twitter.com/jeremyl99313994/status/1701927775815496085</v>
      </c>
      <c r="W75" s="64"/>
      <c r="X75" s="64"/>
      <c r="Y75" s="136" t="s">
        <v>1340</v>
      </c>
      <c r="Z75" s="64"/>
      <c r="AA75" s="104">
        <v>1</v>
      </c>
      <c r="AB75" s="105"/>
      <c r="AC75" s="106"/>
      <c r="AD75" s="105"/>
      <c r="AE75" s="106"/>
      <c r="AF75" s="105"/>
      <c r="AG75" s="106"/>
      <c r="AH75" s="48"/>
      <c r="AI75" s="49"/>
      <c r="AJ75" s="48"/>
      <c r="AK75" s="107"/>
      <c r="AL75" s="111" t="str">
        <f>HYPERLINK("https://pbs.twimg.com/profile_images/1223036536028925952/FSgIEXZc_normal.jpg")</f>
        <v>https://pbs.twimg.com/profile_images/1223036536028925952/FSgIEXZc_normal.jpg</v>
      </c>
      <c r="AM75" s="64"/>
      <c r="AN75" s="64">
        <v>0</v>
      </c>
      <c r="AO75" s="64"/>
      <c r="AP75" s="64"/>
      <c r="AQ75" s="64" t="s">
        <v>1154</v>
      </c>
      <c r="AR75" s="64"/>
      <c r="AS75" s="136" t="s">
        <v>691</v>
      </c>
      <c r="AT75" s="64"/>
      <c r="AU75" s="64">
        <v>0</v>
      </c>
      <c r="AV75" s="136" t="s">
        <v>691</v>
      </c>
      <c r="AW75" s="136" t="s">
        <v>1149</v>
      </c>
      <c r="AX75" s="64"/>
      <c r="AY75" s="136" t="s">
        <v>1339</v>
      </c>
      <c r="AZ75" s="64"/>
      <c r="BA75" s="64"/>
      <c r="BB75" s="64"/>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1</v>
      </c>
      <c r="BM75" s="137">
        <v>45182</v>
      </c>
      <c r="BN75" s="138" t="s">
        <v>1217</v>
      </c>
      <c r="BO75" s="48"/>
      <c r="BP75" s="49"/>
      <c r="BQ75" s="48"/>
      <c r="BR75" s="49"/>
      <c r="BS75" s="48"/>
      <c r="BT75" s="49"/>
      <c r="BU75" s="107">
        <v>1</v>
      </c>
      <c r="BV75" s="64">
        <v>0</v>
      </c>
      <c r="BW75" s="64">
        <v>864</v>
      </c>
      <c r="BX75" s="64" t="s">
        <v>1116</v>
      </c>
      <c r="BY75" s="64"/>
      <c r="BZ75" s="64"/>
      <c r="CA75" s="64"/>
      <c r="CB75" s="64"/>
      <c r="CC75" s="64"/>
      <c r="CD75" s="64"/>
      <c r="CE75" s="64"/>
      <c r="CF75" s="64"/>
      <c r="CG75" s="64"/>
      <c r="CH75" s="64"/>
      <c r="CI75" s="64"/>
      <c r="CJ75" s="64"/>
      <c r="CK75" s="136" t="s">
        <v>1339</v>
      </c>
      <c r="CL75" s="136" t="s">
        <v>1415</v>
      </c>
      <c r="CM75" s="136" t="s">
        <v>1339</v>
      </c>
      <c r="CN75" s="136" t="s">
        <v>1437</v>
      </c>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row>
    <row r="76" spans="1:128" ht="15">
      <c r="A76" s="62" t="s">
        <v>923</v>
      </c>
      <c r="B76" s="62" t="s">
        <v>928</v>
      </c>
      <c r="C76" s="78" t="s">
        <v>714</v>
      </c>
      <c r="D76" s="84">
        <v>5</v>
      </c>
      <c r="E76" s="85" t="s">
        <v>131</v>
      </c>
      <c r="F76" s="86">
        <v>16</v>
      </c>
      <c r="G76" s="78"/>
      <c r="H76" s="70"/>
      <c r="I76" s="87"/>
      <c r="J76" s="87"/>
      <c r="K76" s="34" t="s">
        <v>65</v>
      </c>
      <c r="L76" s="103">
        <v>76</v>
      </c>
      <c r="M76" s="103"/>
      <c r="N76" s="89"/>
      <c r="O76" s="64" t="s">
        <v>965</v>
      </c>
      <c r="P76" s="110">
        <v>45182.49694444444</v>
      </c>
      <c r="Q76" s="64" t="s">
        <v>1027</v>
      </c>
      <c r="R76" s="64"/>
      <c r="S76" s="64"/>
      <c r="T76" s="64"/>
      <c r="U76" s="110">
        <v>45182.49694444444</v>
      </c>
      <c r="V76" s="111" t="str">
        <f>HYPERLINK("https://twitter.com/jeremyl99313994/status/1701927608387313672")</f>
        <v>https://twitter.com/jeremyl99313994/status/1701927608387313672</v>
      </c>
      <c r="W76" s="64"/>
      <c r="X76" s="64"/>
      <c r="Y76" s="136" t="s">
        <v>1341</v>
      </c>
      <c r="Z76" s="64"/>
      <c r="AA76" s="104">
        <v>1</v>
      </c>
      <c r="AB76" s="105"/>
      <c r="AC76" s="106"/>
      <c r="AD76" s="105"/>
      <c r="AE76" s="106"/>
      <c r="AF76" s="105"/>
      <c r="AG76" s="106"/>
      <c r="AH76" s="48">
        <v>13</v>
      </c>
      <c r="AI76" s="49">
        <v>92.85714285714286</v>
      </c>
      <c r="AJ76" s="48">
        <v>14</v>
      </c>
      <c r="AK76" s="107"/>
      <c r="AL76" s="111" t="str">
        <f>HYPERLINK("https://pbs.twimg.com/profile_images/1223036536028925952/FSgIEXZc_normal.jpg")</f>
        <v>https://pbs.twimg.com/profile_images/1223036536028925952/FSgIEXZc_normal.jpg</v>
      </c>
      <c r="AM76" s="64"/>
      <c r="AN76" s="64">
        <v>0</v>
      </c>
      <c r="AO76" s="64"/>
      <c r="AP76" s="64"/>
      <c r="AQ76" s="64" t="s">
        <v>1155</v>
      </c>
      <c r="AR76" s="64"/>
      <c r="AS76" s="136" t="s">
        <v>691</v>
      </c>
      <c r="AT76" s="64"/>
      <c r="AU76" s="64">
        <v>737</v>
      </c>
      <c r="AV76" s="136" t="s">
        <v>1339</v>
      </c>
      <c r="AW76" s="136" t="s">
        <v>1149</v>
      </c>
      <c r="AX76" s="64"/>
      <c r="AY76" s="136" t="s">
        <v>1339</v>
      </c>
      <c r="AZ76" s="64"/>
      <c r="BA76" s="64"/>
      <c r="BB76" s="64"/>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1</v>
      </c>
      <c r="BM76" s="137">
        <v>45182</v>
      </c>
      <c r="BN76" s="138" t="s">
        <v>1218</v>
      </c>
      <c r="BO76" s="48">
        <v>0</v>
      </c>
      <c r="BP76" s="49">
        <v>0</v>
      </c>
      <c r="BQ76" s="48">
        <v>0</v>
      </c>
      <c r="BR76" s="49">
        <v>0</v>
      </c>
      <c r="BS76" s="48">
        <v>0</v>
      </c>
      <c r="BT76" s="49">
        <v>0</v>
      </c>
      <c r="BU76" s="107">
        <v>0</v>
      </c>
      <c r="BV76" s="64">
        <v>0</v>
      </c>
      <c r="BW76" s="64"/>
      <c r="BX76" s="64" t="s">
        <v>928</v>
      </c>
      <c r="BY76" s="64"/>
      <c r="BZ76" s="64"/>
      <c r="CA76" s="64"/>
      <c r="CB76" s="64"/>
      <c r="CC76" s="64"/>
      <c r="CD76" s="64"/>
      <c r="CE76" s="64"/>
      <c r="CF76" s="64"/>
      <c r="CG76" s="64"/>
      <c r="CH76" s="64"/>
      <c r="CI76" s="64"/>
      <c r="CJ76" s="64"/>
      <c r="CK76" s="136" t="s">
        <v>1341</v>
      </c>
      <c r="CL76" s="64"/>
      <c r="CM76" s="136" t="s">
        <v>691</v>
      </c>
      <c r="CN76" s="136" t="s">
        <v>1437</v>
      </c>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row>
    <row r="77" spans="1:128" ht="15">
      <c r="A77" s="62" t="s">
        <v>923</v>
      </c>
      <c r="B77" s="62" t="s">
        <v>958</v>
      </c>
      <c r="C77" s="78" t="s">
        <v>715</v>
      </c>
      <c r="D77" s="84">
        <v>10</v>
      </c>
      <c r="E77" s="85" t="s">
        <v>135</v>
      </c>
      <c r="F77" s="86">
        <v>6</v>
      </c>
      <c r="G77" s="78"/>
      <c r="H77" s="70"/>
      <c r="I77" s="87"/>
      <c r="J77" s="87"/>
      <c r="K77" s="34" t="s">
        <v>65</v>
      </c>
      <c r="L77" s="103">
        <v>77</v>
      </c>
      <c r="M77" s="103"/>
      <c r="N77" s="89"/>
      <c r="O77" s="64" t="s">
        <v>967</v>
      </c>
      <c r="P77" s="110">
        <v>45179.00219907407</v>
      </c>
      <c r="Q77" s="64" t="s">
        <v>1011</v>
      </c>
      <c r="R77" s="64"/>
      <c r="S77" s="64"/>
      <c r="T77" s="64"/>
      <c r="U77" s="110">
        <v>45179.00219907407</v>
      </c>
      <c r="V77" s="111" t="str">
        <f>HYPERLINK("https://twitter.com/jeremyl99313994/status/1700661155788972392")</f>
        <v>https://twitter.com/jeremyl99313994/status/1700661155788972392</v>
      </c>
      <c r="W77" s="64"/>
      <c r="X77" s="64"/>
      <c r="Y77" s="136" t="s">
        <v>1323</v>
      </c>
      <c r="Z77" s="64"/>
      <c r="AA77" s="104">
        <v>14</v>
      </c>
      <c r="AB77" s="105"/>
      <c r="AC77" s="106"/>
      <c r="AD77" s="105"/>
      <c r="AE77" s="106"/>
      <c r="AF77" s="105"/>
      <c r="AG77" s="106"/>
      <c r="AH77" s="48">
        <v>4</v>
      </c>
      <c r="AI77" s="49">
        <v>100</v>
      </c>
      <c r="AJ77" s="48">
        <v>4</v>
      </c>
      <c r="AK77" s="107"/>
      <c r="AL77" s="111" t="str">
        <f>HYPERLINK("https://pbs.twimg.com/profile_images/1223036536028925952/FSgIEXZc_normal.jpg")</f>
        <v>https://pbs.twimg.com/profile_images/1223036536028925952/FSgIEXZc_normal.jpg</v>
      </c>
      <c r="AM77" s="64"/>
      <c r="AN77" s="64">
        <v>0</v>
      </c>
      <c r="AO77" s="64"/>
      <c r="AP77" s="64"/>
      <c r="AQ77" s="64" t="s">
        <v>1154</v>
      </c>
      <c r="AR77" s="64"/>
      <c r="AS77" s="136" t="s">
        <v>691</v>
      </c>
      <c r="AT77" s="64"/>
      <c r="AU77" s="64">
        <v>0</v>
      </c>
      <c r="AV77" s="136" t="s">
        <v>691</v>
      </c>
      <c r="AW77" s="136" t="s">
        <v>1149</v>
      </c>
      <c r="AX77" s="64"/>
      <c r="AY77" s="136" t="s">
        <v>1321</v>
      </c>
      <c r="AZ77" s="64"/>
      <c r="BA77" s="64"/>
      <c r="BB77" s="64"/>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37">
        <v>45179</v>
      </c>
      <c r="BN77" s="138" t="s">
        <v>1200</v>
      </c>
      <c r="BO77" s="48">
        <v>0</v>
      </c>
      <c r="BP77" s="49">
        <v>0</v>
      </c>
      <c r="BQ77" s="48">
        <v>0</v>
      </c>
      <c r="BR77" s="49">
        <v>0</v>
      </c>
      <c r="BS77" s="48">
        <v>0</v>
      </c>
      <c r="BT77" s="49">
        <v>0</v>
      </c>
      <c r="BU77" s="107">
        <v>1</v>
      </c>
      <c r="BV77" s="64">
        <v>0</v>
      </c>
      <c r="BW77" s="64">
        <v>983</v>
      </c>
      <c r="BX77" s="64" t="s">
        <v>1110</v>
      </c>
      <c r="BY77" s="64"/>
      <c r="BZ77" s="64"/>
      <c r="CA77" s="64"/>
      <c r="CB77" s="64"/>
      <c r="CC77" s="64"/>
      <c r="CD77" s="64"/>
      <c r="CE77" s="64"/>
      <c r="CF77" s="64"/>
      <c r="CG77" s="64"/>
      <c r="CH77" s="64"/>
      <c r="CI77" s="64"/>
      <c r="CJ77" s="64"/>
      <c r="CK77" s="136" t="s">
        <v>1321</v>
      </c>
      <c r="CL77" s="136" t="s">
        <v>1409</v>
      </c>
      <c r="CM77" s="136" t="s">
        <v>1321</v>
      </c>
      <c r="CN77" s="136" t="s">
        <v>1437</v>
      </c>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row>
    <row r="78" spans="1:128" ht="15">
      <c r="A78" s="62" t="s">
        <v>923</v>
      </c>
      <c r="B78" s="62" t="s">
        <v>958</v>
      </c>
      <c r="C78" s="78" t="s">
        <v>715</v>
      </c>
      <c r="D78" s="84">
        <v>10</v>
      </c>
      <c r="E78" s="85" t="s">
        <v>135</v>
      </c>
      <c r="F78" s="86">
        <v>6</v>
      </c>
      <c r="G78" s="78"/>
      <c r="H78" s="70"/>
      <c r="I78" s="87"/>
      <c r="J78" s="87"/>
      <c r="K78" s="34" t="s">
        <v>65</v>
      </c>
      <c r="L78" s="103">
        <v>78</v>
      </c>
      <c r="M78" s="103"/>
      <c r="N78" s="89"/>
      <c r="O78" s="64" t="s">
        <v>967</v>
      </c>
      <c r="P78" s="110">
        <v>45177.17633101852</v>
      </c>
      <c r="Q78" s="64" t="s">
        <v>1020</v>
      </c>
      <c r="R78" s="64"/>
      <c r="S78" s="64"/>
      <c r="T78" s="64"/>
      <c r="U78" s="110">
        <v>45177.17633101852</v>
      </c>
      <c r="V78" s="111" t="str">
        <f>HYPERLINK("https://twitter.com/jeremyl99313994/status/1699999483122340141")</f>
        <v>https://twitter.com/jeremyl99313994/status/1699999483122340141</v>
      </c>
      <c r="W78" s="64"/>
      <c r="X78" s="64"/>
      <c r="Y78" s="136" t="s">
        <v>1332</v>
      </c>
      <c r="Z78" s="64"/>
      <c r="AA78" s="104">
        <v>14</v>
      </c>
      <c r="AB78" s="105"/>
      <c r="AC78" s="106"/>
      <c r="AD78" s="105"/>
      <c r="AE78" s="106"/>
      <c r="AF78" s="105"/>
      <c r="AG78" s="106"/>
      <c r="AH78" s="48">
        <v>4</v>
      </c>
      <c r="AI78" s="49">
        <v>100</v>
      </c>
      <c r="AJ78" s="48">
        <v>4</v>
      </c>
      <c r="AK78" s="107"/>
      <c r="AL78" s="111" t="str">
        <f>HYPERLINK("https://pbs.twimg.com/profile_images/1223036536028925952/FSgIEXZc_normal.jpg")</f>
        <v>https://pbs.twimg.com/profile_images/1223036536028925952/FSgIEXZc_normal.jpg</v>
      </c>
      <c r="AM78" s="64"/>
      <c r="AN78" s="64">
        <v>0</v>
      </c>
      <c r="AO78" s="64"/>
      <c r="AP78" s="64"/>
      <c r="AQ78" s="64" t="s">
        <v>1154</v>
      </c>
      <c r="AR78" s="64"/>
      <c r="AS78" s="136" t="s">
        <v>691</v>
      </c>
      <c r="AT78" s="64"/>
      <c r="AU78" s="64">
        <v>0</v>
      </c>
      <c r="AV78" s="136" t="s">
        <v>691</v>
      </c>
      <c r="AW78" s="136" t="s">
        <v>1149</v>
      </c>
      <c r="AX78" s="64"/>
      <c r="AY78" s="136" t="s">
        <v>1330</v>
      </c>
      <c r="AZ78" s="64"/>
      <c r="BA78" s="64"/>
      <c r="BB78" s="64"/>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37">
        <v>45177</v>
      </c>
      <c r="BN78" s="138" t="s">
        <v>1209</v>
      </c>
      <c r="BO78" s="48">
        <v>0</v>
      </c>
      <c r="BP78" s="49">
        <v>0</v>
      </c>
      <c r="BQ78" s="48">
        <v>0</v>
      </c>
      <c r="BR78" s="49">
        <v>0</v>
      </c>
      <c r="BS78" s="48">
        <v>0</v>
      </c>
      <c r="BT78" s="49">
        <v>0</v>
      </c>
      <c r="BU78" s="107">
        <v>0</v>
      </c>
      <c r="BV78" s="64">
        <v>0</v>
      </c>
      <c r="BW78" s="64">
        <v>252</v>
      </c>
      <c r="BX78" s="64" t="s">
        <v>1113</v>
      </c>
      <c r="BY78" s="64"/>
      <c r="BZ78" s="64"/>
      <c r="CA78" s="64"/>
      <c r="CB78" s="64"/>
      <c r="CC78" s="64"/>
      <c r="CD78" s="64"/>
      <c r="CE78" s="64"/>
      <c r="CF78" s="64"/>
      <c r="CG78" s="64"/>
      <c r="CH78" s="64"/>
      <c r="CI78" s="64"/>
      <c r="CJ78" s="64"/>
      <c r="CK78" s="136" t="s">
        <v>1330</v>
      </c>
      <c r="CL78" s="136" t="s">
        <v>1412</v>
      </c>
      <c r="CM78" s="136" t="s">
        <v>1330</v>
      </c>
      <c r="CN78" s="136" t="s">
        <v>1437</v>
      </c>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row>
    <row r="79" spans="1:128" ht="15">
      <c r="A79" s="62" t="s">
        <v>923</v>
      </c>
      <c r="B79" s="62" t="s">
        <v>958</v>
      </c>
      <c r="C79" s="78" t="s">
        <v>715</v>
      </c>
      <c r="D79" s="84">
        <v>10</v>
      </c>
      <c r="E79" s="85" t="s">
        <v>135</v>
      </c>
      <c r="F79" s="86">
        <v>6</v>
      </c>
      <c r="G79" s="78"/>
      <c r="H79" s="70"/>
      <c r="I79" s="87"/>
      <c r="J79" s="87"/>
      <c r="K79" s="34" t="s">
        <v>65</v>
      </c>
      <c r="L79" s="103">
        <v>79</v>
      </c>
      <c r="M79" s="103"/>
      <c r="N79" s="89"/>
      <c r="O79" s="64" t="s">
        <v>967</v>
      </c>
      <c r="P79" s="110">
        <v>45176.00164351852</v>
      </c>
      <c r="Q79" s="64" t="s">
        <v>1024</v>
      </c>
      <c r="R79" s="64"/>
      <c r="S79" s="64"/>
      <c r="T79" s="64"/>
      <c r="U79" s="110">
        <v>45176.00164351852</v>
      </c>
      <c r="V79" s="111" t="str">
        <f>HYPERLINK("https://twitter.com/jeremyl99313994/status/1699573789959606683")</f>
        <v>https://twitter.com/jeremyl99313994/status/1699573789959606683</v>
      </c>
      <c r="W79" s="64"/>
      <c r="X79" s="64"/>
      <c r="Y79" s="136" t="s">
        <v>1337</v>
      </c>
      <c r="Z79" s="64"/>
      <c r="AA79" s="104">
        <v>14</v>
      </c>
      <c r="AB79" s="105"/>
      <c r="AC79" s="106"/>
      <c r="AD79" s="105"/>
      <c r="AE79" s="106"/>
      <c r="AF79" s="105"/>
      <c r="AG79" s="106"/>
      <c r="AH79" s="48">
        <v>4</v>
      </c>
      <c r="AI79" s="49">
        <v>100</v>
      </c>
      <c r="AJ79" s="48">
        <v>4</v>
      </c>
      <c r="AK79" s="107"/>
      <c r="AL79" s="111" t="str">
        <f>HYPERLINK("https://pbs.twimg.com/profile_images/1223036536028925952/FSgIEXZc_normal.jpg")</f>
        <v>https://pbs.twimg.com/profile_images/1223036536028925952/FSgIEXZc_normal.jpg</v>
      </c>
      <c r="AM79" s="64"/>
      <c r="AN79" s="64">
        <v>0</v>
      </c>
      <c r="AO79" s="64"/>
      <c r="AP79" s="64"/>
      <c r="AQ79" s="64" t="s">
        <v>1154</v>
      </c>
      <c r="AR79" s="64"/>
      <c r="AS79" s="136" t="s">
        <v>691</v>
      </c>
      <c r="AT79" s="64"/>
      <c r="AU79" s="64">
        <v>0</v>
      </c>
      <c r="AV79" s="136" t="s">
        <v>691</v>
      </c>
      <c r="AW79" s="136" t="s">
        <v>1149</v>
      </c>
      <c r="AX79" s="64"/>
      <c r="AY79" s="136" t="s">
        <v>1396</v>
      </c>
      <c r="AZ79" s="64"/>
      <c r="BA79" s="64"/>
      <c r="BB79" s="64"/>
      <c r="BC79" s="64"/>
      <c r="BD79" s="64"/>
      <c r="BE79" s="64"/>
      <c r="BF79" s="64"/>
      <c r="BG79" s="64"/>
      <c r="BH79" s="64"/>
      <c r="BI79" s="64"/>
      <c r="BJ79" s="64"/>
      <c r="BK79" s="63" t="str">
        <f>REPLACE(INDEX(GroupVertices[Group],MATCH(Edges[[#This Row],[Vertex 1]],GroupVertices[Vertex],0)),1,1,"")</f>
        <v>1</v>
      </c>
      <c r="BL79" s="63" t="str">
        <f>REPLACE(INDEX(GroupVertices[Group],MATCH(Edges[[#This Row],[Vertex 2]],GroupVertices[Vertex],0)),1,1,"")</f>
        <v>1</v>
      </c>
      <c r="BM79" s="137">
        <v>45176</v>
      </c>
      <c r="BN79" s="138" t="s">
        <v>1214</v>
      </c>
      <c r="BO79" s="48">
        <v>0</v>
      </c>
      <c r="BP79" s="49">
        <v>0</v>
      </c>
      <c r="BQ79" s="48">
        <v>0</v>
      </c>
      <c r="BR79" s="49">
        <v>0</v>
      </c>
      <c r="BS79" s="48">
        <v>0</v>
      </c>
      <c r="BT79" s="49">
        <v>0</v>
      </c>
      <c r="BU79" s="107">
        <v>1</v>
      </c>
      <c r="BV79" s="64">
        <v>0</v>
      </c>
      <c r="BW79" s="64">
        <v>2359</v>
      </c>
      <c r="BX79" s="64" t="s">
        <v>1115</v>
      </c>
      <c r="BY79" s="64"/>
      <c r="BZ79" s="64"/>
      <c r="CA79" s="64"/>
      <c r="CB79" s="64"/>
      <c r="CC79" s="64"/>
      <c r="CD79" s="64"/>
      <c r="CE79" s="64"/>
      <c r="CF79" s="64"/>
      <c r="CG79" s="64"/>
      <c r="CH79" s="64"/>
      <c r="CI79" s="64"/>
      <c r="CJ79" s="64"/>
      <c r="CK79" s="136" t="s">
        <v>1396</v>
      </c>
      <c r="CL79" s="136" t="s">
        <v>1414</v>
      </c>
      <c r="CM79" s="136" t="s">
        <v>1396</v>
      </c>
      <c r="CN79" s="136" t="s">
        <v>1437</v>
      </c>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row>
    <row r="80" spans="1:128" ht="15">
      <c r="A80" s="62" t="s">
        <v>923</v>
      </c>
      <c r="B80" s="62" t="s">
        <v>958</v>
      </c>
      <c r="C80" s="78" t="s">
        <v>715</v>
      </c>
      <c r="D80" s="84">
        <v>10</v>
      </c>
      <c r="E80" s="85" t="s">
        <v>135</v>
      </c>
      <c r="F80" s="86">
        <v>6</v>
      </c>
      <c r="G80" s="78"/>
      <c r="H80" s="70"/>
      <c r="I80" s="87"/>
      <c r="J80" s="87"/>
      <c r="K80" s="34" t="s">
        <v>65</v>
      </c>
      <c r="L80" s="103">
        <v>80</v>
      </c>
      <c r="M80" s="103"/>
      <c r="N80" s="89"/>
      <c r="O80" s="64" t="s">
        <v>967</v>
      </c>
      <c r="P80" s="110">
        <v>45180.971875</v>
      </c>
      <c r="Q80" s="64" t="s">
        <v>1014</v>
      </c>
      <c r="R80" s="64"/>
      <c r="S80" s="64"/>
      <c r="T80" s="64"/>
      <c r="U80" s="110">
        <v>45180.971875</v>
      </c>
      <c r="V80" s="111" t="str">
        <f>HYPERLINK("https://twitter.com/jeremyl99313994/status/1701374939868381369")</f>
        <v>https://twitter.com/jeremyl99313994/status/1701374939868381369</v>
      </c>
      <c r="W80" s="64"/>
      <c r="X80" s="64"/>
      <c r="Y80" s="136" t="s">
        <v>1326</v>
      </c>
      <c r="Z80" s="64"/>
      <c r="AA80" s="104">
        <v>14</v>
      </c>
      <c r="AB80" s="105"/>
      <c r="AC80" s="106"/>
      <c r="AD80" s="105"/>
      <c r="AE80" s="106"/>
      <c r="AF80" s="105"/>
      <c r="AG80" s="106"/>
      <c r="AH80" s="48">
        <v>4</v>
      </c>
      <c r="AI80" s="49">
        <v>100</v>
      </c>
      <c r="AJ80" s="48">
        <v>4</v>
      </c>
      <c r="AK80" s="107"/>
      <c r="AL80" s="111" t="str">
        <f>HYPERLINK("https://pbs.twimg.com/profile_images/1223036536028925952/FSgIEXZc_normal.jpg")</f>
        <v>https://pbs.twimg.com/profile_images/1223036536028925952/FSgIEXZc_normal.jpg</v>
      </c>
      <c r="AM80" s="64"/>
      <c r="AN80" s="64">
        <v>0</v>
      </c>
      <c r="AO80" s="64"/>
      <c r="AP80" s="64"/>
      <c r="AQ80" s="64" t="s">
        <v>1154</v>
      </c>
      <c r="AR80" s="64"/>
      <c r="AS80" s="136" t="s">
        <v>691</v>
      </c>
      <c r="AT80" s="64"/>
      <c r="AU80" s="64">
        <v>0</v>
      </c>
      <c r="AV80" s="136" t="s">
        <v>691</v>
      </c>
      <c r="AW80" s="136" t="s">
        <v>1149</v>
      </c>
      <c r="AX80" s="64"/>
      <c r="AY80" s="136" t="s">
        <v>1324</v>
      </c>
      <c r="AZ80" s="64"/>
      <c r="BA80" s="64"/>
      <c r="BB80" s="64"/>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1</v>
      </c>
      <c r="BM80" s="137">
        <v>45180</v>
      </c>
      <c r="BN80" s="138" t="s">
        <v>1203</v>
      </c>
      <c r="BO80" s="48">
        <v>0</v>
      </c>
      <c r="BP80" s="49">
        <v>0</v>
      </c>
      <c r="BQ80" s="48">
        <v>0</v>
      </c>
      <c r="BR80" s="49">
        <v>0</v>
      </c>
      <c r="BS80" s="48">
        <v>0</v>
      </c>
      <c r="BT80" s="49">
        <v>0</v>
      </c>
      <c r="BU80" s="107">
        <v>1</v>
      </c>
      <c r="BV80" s="64">
        <v>0</v>
      </c>
      <c r="BW80" s="64">
        <v>925</v>
      </c>
      <c r="BX80" s="64" t="s">
        <v>1111</v>
      </c>
      <c r="BY80" s="64"/>
      <c r="BZ80" s="64"/>
      <c r="CA80" s="64"/>
      <c r="CB80" s="64"/>
      <c r="CC80" s="64"/>
      <c r="CD80" s="64"/>
      <c r="CE80" s="64"/>
      <c r="CF80" s="64"/>
      <c r="CG80" s="64"/>
      <c r="CH80" s="64"/>
      <c r="CI80" s="64"/>
      <c r="CJ80" s="64"/>
      <c r="CK80" s="136" t="s">
        <v>1324</v>
      </c>
      <c r="CL80" s="136" t="s">
        <v>1410</v>
      </c>
      <c r="CM80" s="136" t="s">
        <v>1324</v>
      </c>
      <c r="CN80" s="136" t="s">
        <v>1437</v>
      </c>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row>
    <row r="81" spans="1:128" ht="15">
      <c r="A81" s="62" t="s">
        <v>923</v>
      </c>
      <c r="B81" s="62" t="s">
        <v>958</v>
      </c>
      <c r="C81" s="78" t="s">
        <v>715</v>
      </c>
      <c r="D81" s="84">
        <v>10</v>
      </c>
      <c r="E81" s="85" t="s">
        <v>135</v>
      </c>
      <c r="F81" s="86">
        <v>6</v>
      </c>
      <c r="G81" s="78"/>
      <c r="H81" s="70"/>
      <c r="I81" s="87"/>
      <c r="J81" s="87"/>
      <c r="K81" s="34" t="s">
        <v>65</v>
      </c>
      <c r="L81" s="103">
        <v>81</v>
      </c>
      <c r="M81" s="103"/>
      <c r="N81" s="89"/>
      <c r="O81" s="64" t="s">
        <v>967</v>
      </c>
      <c r="P81" s="110">
        <v>45179.654131944444</v>
      </c>
      <c r="Q81" s="64" t="s">
        <v>1017</v>
      </c>
      <c r="R81" s="64"/>
      <c r="S81" s="64"/>
      <c r="T81" s="64"/>
      <c r="U81" s="110">
        <v>45179.654131944444</v>
      </c>
      <c r="V81" s="111" t="str">
        <f>HYPERLINK("https://twitter.com/jeremyl99313994/status/1700897405762506833")</f>
        <v>https://twitter.com/jeremyl99313994/status/1700897405762506833</v>
      </c>
      <c r="W81" s="64"/>
      <c r="X81" s="64"/>
      <c r="Y81" s="136" t="s">
        <v>1329</v>
      </c>
      <c r="Z81" s="64"/>
      <c r="AA81" s="104">
        <v>14</v>
      </c>
      <c r="AB81" s="105"/>
      <c r="AC81" s="106"/>
      <c r="AD81" s="105"/>
      <c r="AE81" s="106"/>
      <c r="AF81" s="105"/>
      <c r="AG81" s="106"/>
      <c r="AH81" s="48">
        <v>4</v>
      </c>
      <c r="AI81" s="49">
        <v>100</v>
      </c>
      <c r="AJ81" s="48">
        <v>4</v>
      </c>
      <c r="AK81" s="107"/>
      <c r="AL81" s="111" t="str">
        <f>HYPERLINK("https://pbs.twimg.com/profile_images/1223036536028925952/FSgIEXZc_normal.jpg")</f>
        <v>https://pbs.twimg.com/profile_images/1223036536028925952/FSgIEXZc_normal.jpg</v>
      </c>
      <c r="AM81" s="64"/>
      <c r="AN81" s="64">
        <v>0</v>
      </c>
      <c r="AO81" s="64"/>
      <c r="AP81" s="64"/>
      <c r="AQ81" s="64" t="s">
        <v>1154</v>
      </c>
      <c r="AR81" s="64"/>
      <c r="AS81" s="136" t="s">
        <v>691</v>
      </c>
      <c r="AT81" s="64"/>
      <c r="AU81" s="64">
        <v>0</v>
      </c>
      <c r="AV81" s="136" t="s">
        <v>691</v>
      </c>
      <c r="AW81" s="136" t="s">
        <v>1149</v>
      </c>
      <c r="AX81" s="64"/>
      <c r="AY81" s="136" t="s">
        <v>1327</v>
      </c>
      <c r="AZ81" s="64"/>
      <c r="BA81" s="64"/>
      <c r="BB81" s="64"/>
      <c r="BC81" s="64"/>
      <c r="BD81" s="64"/>
      <c r="BE81" s="64"/>
      <c r="BF81" s="64"/>
      <c r="BG81" s="64"/>
      <c r="BH81" s="64"/>
      <c r="BI81" s="64"/>
      <c r="BJ81" s="64"/>
      <c r="BK81" s="63" t="str">
        <f>REPLACE(INDEX(GroupVertices[Group],MATCH(Edges[[#This Row],[Vertex 1]],GroupVertices[Vertex],0)),1,1,"")</f>
        <v>1</v>
      </c>
      <c r="BL81" s="63" t="str">
        <f>REPLACE(INDEX(GroupVertices[Group],MATCH(Edges[[#This Row],[Vertex 2]],GroupVertices[Vertex],0)),1,1,"")</f>
        <v>1</v>
      </c>
      <c r="BM81" s="137">
        <v>45179</v>
      </c>
      <c r="BN81" s="138" t="s">
        <v>1206</v>
      </c>
      <c r="BO81" s="48">
        <v>0</v>
      </c>
      <c r="BP81" s="49">
        <v>0</v>
      </c>
      <c r="BQ81" s="48">
        <v>0</v>
      </c>
      <c r="BR81" s="49">
        <v>0</v>
      </c>
      <c r="BS81" s="48">
        <v>0</v>
      </c>
      <c r="BT81" s="49">
        <v>0</v>
      </c>
      <c r="BU81" s="107">
        <v>1</v>
      </c>
      <c r="BV81" s="64">
        <v>0</v>
      </c>
      <c r="BW81" s="64">
        <v>278</v>
      </c>
      <c r="BX81" s="64" t="s">
        <v>1112</v>
      </c>
      <c r="BY81" s="64"/>
      <c r="BZ81" s="64"/>
      <c r="CA81" s="64"/>
      <c r="CB81" s="64"/>
      <c r="CC81" s="64"/>
      <c r="CD81" s="64"/>
      <c r="CE81" s="64"/>
      <c r="CF81" s="64"/>
      <c r="CG81" s="64"/>
      <c r="CH81" s="64"/>
      <c r="CI81" s="64"/>
      <c r="CJ81" s="64"/>
      <c r="CK81" s="136" t="s">
        <v>1327</v>
      </c>
      <c r="CL81" s="136" t="s">
        <v>1411</v>
      </c>
      <c r="CM81" s="136" t="s">
        <v>1327</v>
      </c>
      <c r="CN81" s="136" t="s">
        <v>1437</v>
      </c>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row>
    <row r="82" spans="1:128" ht="15">
      <c r="A82" s="62" t="s">
        <v>923</v>
      </c>
      <c r="B82" s="62" t="s">
        <v>958</v>
      </c>
      <c r="C82" s="78" t="s">
        <v>715</v>
      </c>
      <c r="D82" s="84">
        <v>10</v>
      </c>
      <c r="E82" s="85" t="s">
        <v>135</v>
      </c>
      <c r="F82" s="86">
        <v>6</v>
      </c>
      <c r="G82" s="78"/>
      <c r="H82" s="70"/>
      <c r="I82" s="87"/>
      <c r="J82" s="87"/>
      <c r="K82" s="34" t="s">
        <v>65</v>
      </c>
      <c r="L82" s="103">
        <v>82</v>
      </c>
      <c r="M82" s="103"/>
      <c r="N82" s="89"/>
      <c r="O82" s="64" t="s">
        <v>967</v>
      </c>
      <c r="P82" s="110">
        <v>45178.02071759259</v>
      </c>
      <c r="Q82" s="64" t="s">
        <v>1020</v>
      </c>
      <c r="R82" s="64"/>
      <c r="S82" s="64"/>
      <c r="T82" s="64"/>
      <c r="U82" s="110">
        <v>45178.02071759259</v>
      </c>
      <c r="V82" s="111" t="str">
        <f>HYPERLINK("https://twitter.com/jeremyl99313994/status/1700305478230933733")</f>
        <v>https://twitter.com/jeremyl99313994/status/1700305478230933733</v>
      </c>
      <c r="W82" s="64"/>
      <c r="X82" s="64"/>
      <c r="Y82" s="136" t="s">
        <v>1333</v>
      </c>
      <c r="Z82" s="64"/>
      <c r="AA82" s="104">
        <v>14</v>
      </c>
      <c r="AB82" s="105"/>
      <c r="AC82" s="106"/>
      <c r="AD82" s="105"/>
      <c r="AE82" s="106"/>
      <c r="AF82" s="105"/>
      <c r="AG82" s="106"/>
      <c r="AH82" s="48">
        <v>4</v>
      </c>
      <c r="AI82" s="49">
        <v>100</v>
      </c>
      <c r="AJ82" s="48">
        <v>4</v>
      </c>
      <c r="AK82" s="107"/>
      <c r="AL82" s="111" t="str">
        <f>HYPERLINK("https://pbs.twimg.com/profile_images/1223036536028925952/FSgIEXZc_normal.jpg")</f>
        <v>https://pbs.twimg.com/profile_images/1223036536028925952/FSgIEXZc_normal.jpg</v>
      </c>
      <c r="AM82" s="64"/>
      <c r="AN82" s="64">
        <v>0</v>
      </c>
      <c r="AO82" s="64"/>
      <c r="AP82" s="64"/>
      <c r="AQ82" s="64" t="s">
        <v>1154</v>
      </c>
      <c r="AR82" s="64"/>
      <c r="AS82" s="136" t="s">
        <v>691</v>
      </c>
      <c r="AT82" s="64"/>
      <c r="AU82" s="64">
        <v>0</v>
      </c>
      <c r="AV82" s="136" t="s">
        <v>691</v>
      </c>
      <c r="AW82" s="136" t="s">
        <v>1149</v>
      </c>
      <c r="AX82" s="64"/>
      <c r="AY82" s="136" t="s">
        <v>1330</v>
      </c>
      <c r="AZ82" s="64"/>
      <c r="BA82" s="64"/>
      <c r="BB82" s="64"/>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137">
        <v>45178</v>
      </c>
      <c r="BN82" s="138" t="s">
        <v>1210</v>
      </c>
      <c r="BO82" s="48">
        <v>0</v>
      </c>
      <c r="BP82" s="49">
        <v>0</v>
      </c>
      <c r="BQ82" s="48">
        <v>0</v>
      </c>
      <c r="BR82" s="49">
        <v>0</v>
      </c>
      <c r="BS82" s="48">
        <v>0</v>
      </c>
      <c r="BT82" s="49">
        <v>0</v>
      </c>
      <c r="BU82" s="107">
        <v>0</v>
      </c>
      <c r="BV82" s="64">
        <v>0</v>
      </c>
      <c r="BW82" s="64">
        <v>39</v>
      </c>
      <c r="BX82" s="64" t="s">
        <v>1113</v>
      </c>
      <c r="BY82" s="64"/>
      <c r="BZ82" s="64"/>
      <c r="CA82" s="64"/>
      <c r="CB82" s="64"/>
      <c r="CC82" s="64"/>
      <c r="CD82" s="64"/>
      <c r="CE82" s="64"/>
      <c r="CF82" s="64"/>
      <c r="CG82" s="64"/>
      <c r="CH82" s="64"/>
      <c r="CI82" s="64"/>
      <c r="CJ82" s="64"/>
      <c r="CK82" s="136" t="s">
        <v>1330</v>
      </c>
      <c r="CL82" s="136" t="s">
        <v>1412</v>
      </c>
      <c r="CM82" s="136" t="s">
        <v>1330</v>
      </c>
      <c r="CN82" s="136" t="s">
        <v>1437</v>
      </c>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row>
    <row r="83" spans="1:128" ht="15">
      <c r="A83" s="62" t="s">
        <v>923</v>
      </c>
      <c r="B83" s="62" t="s">
        <v>958</v>
      </c>
      <c r="C83" s="78" t="s">
        <v>715</v>
      </c>
      <c r="D83" s="84">
        <v>10</v>
      </c>
      <c r="E83" s="85" t="s">
        <v>135</v>
      </c>
      <c r="F83" s="86">
        <v>6</v>
      </c>
      <c r="G83" s="78"/>
      <c r="H83" s="70"/>
      <c r="I83" s="87"/>
      <c r="J83" s="87"/>
      <c r="K83" s="34" t="s">
        <v>65</v>
      </c>
      <c r="L83" s="103">
        <v>83</v>
      </c>
      <c r="M83" s="103"/>
      <c r="N83" s="89"/>
      <c r="O83" s="64" t="s">
        <v>967</v>
      </c>
      <c r="P83" s="110">
        <v>45177.00965277778</v>
      </c>
      <c r="Q83" s="64" t="s">
        <v>1028</v>
      </c>
      <c r="R83" s="64"/>
      <c r="S83" s="64"/>
      <c r="T83" s="64"/>
      <c r="U83" s="110">
        <v>45177.00965277778</v>
      </c>
      <c r="V83" s="111" t="str">
        <f>HYPERLINK("https://twitter.com/jeremyl99313994/status/1699939080648425550")</f>
        <v>https://twitter.com/jeremyl99313994/status/1699939080648425550</v>
      </c>
      <c r="W83" s="64"/>
      <c r="X83" s="64"/>
      <c r="Y83" s="136" t="s">
        <v>1342</v>
      </c>
      <c r="Z83" s="64"/>
      <c r="AA83" s="104">
        <v>14</v>
      </c>
      <c r="AB83" s="105"/>
      <c r="AC83" s="106"/>
      <c r="AD83" s="105"/>
      <c r="AE83" s="106"/>
      <c r="AF83" s="105"/>
      <c r="AG83" s="106"/>
      <c r="AH83" s="48"/>
      <c r="AI83" s="49"/>
      <c r="AJ83" s="48"/>
      <c r="AK83" s="107"/>
      <c r="AL83" s="111" t="str">
        <f>HYPERLINK("https://pbs.twimg.com/profile_images/1223036536028925952/FSgIEXZc_normal.jpg")</f>
        <v>https://pbs.twimg.com/profile_images/1223036536028925952/FSgIEXZc_normal.jpg</v>
      </c>
      <c r="AM83" s="64"/>
      <c r="AN83" s="64">
        <v>2</v>
      </c>
      <c r="AO83" s="64"/>
      <c r="AP83" s="64"/>
      <c r="AQ83" s="64" t="s">
        <v>1154</v>
      </c>
      <c r="AR83" s="64"/>
      <c r="AS83" s="136" t="s">
        <v>691</v>
      </c>
      <c r="AT83" s="64"/>
      <c r="AU83" s="64">
        <v>0</v>
      </c>
      <c r="AV83" s="136" t="s">
        <v>691</v>
      </c>
      <c r="AW83" s="136" t="s">
        <v>1149</v>
      </c>
      <c r="AX83" s="64"/>
      <c r="AY83" s="136" t="s">
        <v>1347</v>
      </c>
      <c r="AZ83" s="64"/>
      <c r="BA83" s="64"/>
      <c r="BB83" s="64"/>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1</v>
      </c>
      <c r="BM83" s="137">
        <v>45177</v>
      </c>
      <c r="BN83" s="138" t="s">
        <v>1219</v>
      </c>
      <c r="BO83" s="48"/>
      <c r="BP83" s="49"/>
      <c r="BQ83" s="48"/>
      <c r="BR83" s="49"/>
      <c r="BS83" s="48"/>
      <c r="BT83" s="49"/>
      <c r="BU83" s="107">
        <v>1</v>
      </c>
      <c r="BV83" s="64">
        <v>0</v>
      </c>
      <c r="BW83" s="64">
        <v>1785</v>
      </c>
      <c r="BX83" s="64" t="s">
        <v>1117</v>
      </c>
      <c r="BY83" s="64"/>
      <c r="BZ83" s="64"/>
      <c r="CA83" s="64"/>
      <c r="CB83" s="64"/>
      <c r="CC83" s="64"/>
      <c r="CD83" s="64"/>
      <c r="CE83" s="64"/>
      <c r="CF83" s="64"/>
      <c r="CG83" s="64"/>
      <c r="CH83" s="64"/>
      <c r="CI83" s="64"/>
      <c r="CJ83" s="64"/>
      <c r="CK83" s="136" t="s">
        <v>1347</v>
      </c>
      <c r="CL83" s="136" t="s">
        <v>1416</v>
      </c>
      <c r="CM83" s="136" t="s">
        <v>1347</v>
      </c>
      <c r="CN83" s="136" t="s">
        <v>1437</v>
      </c>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row>
    <row r="84" spans="1:128" ht="15">
      <c r="A84" s="62" t="s">
        <v>923</v>
      </c>
      <c r="B84" s="62" t="s">
        <v>958</v>
      </c>
      <c r="C84" s="78" t="s">
        <v>715</v>
      </c>
      <c r="D84" s="84">
        <v>10</v>
      </c>
      <c r="E84" s="85" t="s">
        <v>135</v>
      </c>
      <c r="F84" s="86">
        <v>6</v>
      </c>
      <c r="G84" s="78"/>
      <c r="H84" s="70"/>
      <c r="I84" s="87"/>
      <c r="J84" s="87"/>
      <c r="K84" s="34" t="s">
        <v>65</v>
      </c>
      <c r="L84" s="103">
        <v>84</v>
      </c>
      <c r="M84" s="103"/>
      <c r="N84" s="89"/>
      <c r="O84" s="64" t="s">
        <v>967</v>
      </c>
      <c r="P84" s="110">
        <v>45182.15739583333</v>
      </c>
      <c r="Q84" s="64" t="s">
        <v>1028</v>
      </c>
      <c r="R84" s="64"/>
      <c r="S84" s="64"/>
      <c r="T84" s="64"/>
      <c r="U84" s="110">
        <v>45182.15739583333</v>
      </c>
      <c r="V84" s="111" t="str">
        <f>HYPERLINK("https://twitter.com/jeremyl99313994/status/1701804557729468781")</f>
        <v>https://twitter.com/jeremyl99313994/status/1701804557729468781</v>
      </c>
      <c r="W84" s="64"/>
      <c r="X84" s="64"/>
      <c r="Y84" s="136" t="s">
        <v>1343</v>
      </c>
      <c r="Z84" s="64"/>
      <c r="AA84" s="104">
        <v>14</v>
      </c>
      <c r="AB84" s="105"/>
      <c r="AC84" s="106"/>
      <c r="AD84" s="105"/>
      <c r="AE84" s="106"/>
      <c r="AF84" s="105"/>
      <c r="AG84" s="106"/>
      <c r="AH84" s="48"/>
      <c r="AI84" s="49"/>
      <c r="AJ84" s="48"/>
      <c r="AK84" s="107"/>
      <c r="AL84" s="111" t="str">
        <f>HYPERLINK("https://pbs.twimg.com/profile_images/1223036536028925952/FSgIEXZc_normal.jpg")</f>
        <v>https://pbs.twimg.com/profile_images/1223036536028925952/FSgIEXZc_normal.jpg</v>
      </c>
      <c r="AM84" s="64"/>
      <c r="AN84" s="64">
        <v>0</v>
      </c>
      <c r="AO84" s="64"/>
      <c r="AP84" s="64"/>
      <c r="AQ84" s="64" t="s">
        <v>1154</v>
      </c>
      <c r="AR84" s="64"/>
      <c r="AS84" s="136" t="s">
        <v>691</v>
      </c>
      <c r="AT84" s="64"/>
      <c r="AU84" s="64">
        <v>0</v>
      </c>
      <c r="AV84" s="136" t="s">
        <v>691</v>
      </c>
      <c r="AW84" s="136" t="s">
        <v>1149</v>
      </c>
      <c r="AX84" s="64"/>
      <c r="AY84" s="136" t="s">
        <v>1349</v>
      </c>
      <c r="AZ84" s="64"/>
      <c r="BA84" s="64"/>
      <c r="BB84" s="64"/>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37">
        <v>45182</v>
      </c>
      <c r="BN84" s="138" t="s">
        <v>1220</v>
      </c>
      <c r="BO84" s="48"/>
      <c r="BP84" s="49"/>
      <c r="BQ84" s="48"/>
      <c r="BR84" s="49"/>
      <c r="BS84" s="48"/>
      <c r="BT84" s="49"/>
      <c r="BU84" s="107">
        <v>1</v>
      </c>
      <c r="BV84" s="64">
        <v>0</v>
      </c>
      <c r="BW84" s="64">
        <v>1233</v>
      </c>
      <c r="BX84" s="64" t="s">
        <v>1117</v>
      </c>
      <c r="BY84" s="64"/>
      <c r="BZ84" s="64"/>
      <c r="CA84" s="64"/>
      <c r="CB84" s="64"/>
      <c r="CC84" s="64"/>
      <c r="CD84" s="64"/>
      <c r="CE84" s="64"/>
      <c r="CF84" s="64"/>
      <c r="CG84" s="64"/>
      <c r="CH84" s="64"/>
      <c r="CI84" s="64"/>
      <c r="CJ84" s="64"/>
      <c r="CK84" s="136" t="s">
        <v>1349</v>
      </c>
      <c r="CL84" s="136" t="s">
        <v>1416</v>
      </c>
      <c r="CM84" s="136" t="s">
        <v>1349</v>
      </c>
      <c r="CN84" s="136" t="s">
        <v>1437</v>
      </c>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row>
    <row r="85" spans="1:128" ht="15">
      <c r="A85" s="62" t="s">
        <v>923</v>
      </c>
      <c r="B85" s="62" t="s">
        <v>958</v>
      </c>
      <c r="C85" s="78" t="s">
        <v>715</v>
      </c>
      <c r="D85" s="84">
        <v>10</v>
      </c>
      <c r="E85" s="85" t="s">
        <v>135</v>
      </c>
      <c r="F85" s="86">
        <v>6</v>
      </c>
      <c r="G85" s="78"/>
      <c r="H85" s="70"/>
      <c r="I85" s="87"/>
      <c r="J85" s="87"/>
      <c r="K85" s="34" t="s">
        <v>65</v>
      </c>
      <c r="L85" s="103">
        <v>85</v>
      </c>
      <c r="M85" s="103"/>
      <c r="N85" s="89"/>
      <c r="O85" s="64" t="s">
        <v>967</v>
      </c>
      <c r="P85" s="110">
        <v>45181.46109953704</v>
      </c>
      <c r="Q85" s="64" t="s">
        <v>1023</v>
      </c>
      <c r="R85" s="64"/>
      <c r="S85" s="64"/>
      <c r="T85" s="64"/>
      <c r="U85" s="110">
        <v>45181.46109953704</v>
      </c>
      <c r="V85" s="111" t="str">
        <f>HYPERLINK("https://twitter.com/jeremyl99313994/status/1701552230913261834")</f>
        <v>https://twitter.com/jeremyl99313994/status/1701552230913261834</v>
      </c>
      <c r="W85" s="64"/>
      <c r="X85" s="64"/>
      <c r="Y85" s="136" t="s">
        <v>1336</v>
      </c>
      <c r="Z85" s="64"/>
      <c r="AA85" s="104">
        <v>14</v>
      </c>
      <c r="AB85" s="105"/>
      <c r="AC85" s="106"/>
      <c r="AD85" s="105"/>
      <c r="AE85" s="106"/>
      <c r="AF85" s="105"/>
      <c r="AG85" s="106"/>
      <c r="AH85" s="48">
        <v>4</v>
      </c>
      <c r="AI85" s="49">
        <v>100</v>
      </c>
      <c r="AJ85" s="48">
        <v>4</v>
      </c>
      <c r="AK85" s="107"/>
      <c r="AL85" s="111" t="str">
        <f>HYPERLINK("https://pbs.twimg.com/profile_images/1223036536028925952/FSgIEXZc_normal.jpg")</f>
        <v>https://pbs.twimg.com/profile_images/1223036536028925952/FSgIEXZc_normal.jpg</v>
      </c>
      <c r="AM85" s="64"/>
      <c r="AN85" s="64">
        <v>0</v>
      </c>
      <c r="AO85" s="64"/>
      <c r="AP85" s="64"/>
      <c r="AQ85" s="64" t="s">
        <v>1154</v>
      </c>
      <c r="AR85" s="64"/>
      <c r="AS85" s="136" t="s">
        <v>691</v>
      </c>
      <c r="AT85" s="64"/>
      <c r="AU85" s="64">
        <v>0</v>
      </c>
      <c r="AV85" s="136" t="s">
        <v>691</v>
      </c>
      <c r="AW85" s="136" t="s">
        <v>1149</v>
      </c>
      <c r="AX85" s="64"/>
      <c r="AY85" s="136" t="s">
        <v>1334</v>
      </c>
      <c r="AZ85" s="64"/>
      <c r="BA85" s="64"/>
      <c r="BB85" s="64"/>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1</v>
      </c>
      <c r="BM85" s="137">
        <v>45181</v>
      </c>
      <c r="BN85" s="138" t="s">
        <v>1213</v>
      </c>
      <c r="BO85" s="48">
        <v>0</v>
      </c>
      <c r="BP85" s="49">
        <v>0</v>
      </c>
      <c r="BQ85" s="48">
        <v>0</v>
      </c>
      <c r="BR85" s="49">
        <v>0</v>
      </c>
      <c r="BS85" s="48">
        <v>0</v>
      </c>
      <c r="BT85" s="49">
        <v>0</v>
      </c>
      <c r="BU85" s="107">
        <v>1</v>
      </c>
      <c r="BV85" s="64">
        <v>0</v>
      </c>
      <c r="BW85" s="64">
        <v>903</v>
      </c>
      <c r="BX85" s="64" t="s">
        <v>1114</v>
      </c>
      <c r="BY85" s="64"/>
      <c r="BZ85" s="64"/>
      <c r="CA85" s="64"/>
      <c r="CB85" s="64"/>
      <c r="CC85" s="64"/>
      <c r="CD85" s="64"/>
      <c r="CE85" s="64"/>
      <c r="CF85" s="64"/>
      <c r="CG85" s="64"/>
      <c r="CH85" s="64"/>
      <c r="CI85" s="64"/>
      <c r="CJ85" s="64"/>
      <c r="CK85" s="136" t="s">
        <v>1334</v>
      </c>
      <c r="CL85" s="136" t="s">
        <v>1413</v>
      </c>
      <c r="CM85" s="136" t="s">
        <v>1334</v>
      </c>
      <c r="CN85" s="136" t="s">
        <v>1437</v>
      </c>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row>
    <row r="86" spans="1:128" ht="15">
      <c r="A86" s="62" t="s">
        <v>923</v>
      </c>
      <c r="B86" s="62" t="s">
        <v>958</v>
      </c>
      <c r="C86" s="78" t="s">
        <v>715</v>
      </c>
      <c r="D86" s="84">
        <v>10</v>
      </c>
      <c r="E86" s="85" t="s">
        <v>135</v>
      </c>
      <c r="F86" s="86">
        <v>6</v>
      </c>
      <c r="G86" s="78"/>
      <c r="H86" s="70"/>
      <c r="I86" s="87"/>
      <c r="J86" s="87"/>
      <c r="K86" s="34" t="s">
        <v>65</v>
      </c>
      <c r="L86" s="103">
        <v>86</v>
      </c>
      <c r="M86" s="103"/>
      <c r="N86" s="89"/>
      <c r="O86" s="64" t="s">
        <v>967</v>
      </c>
      <c r="P86" s="110">
        <v>45179.65729166667</v>
      </c>
      <c r="Q86" s="64" t="s">
        <v>1028</v>
      </c>
      <c r="R86" s="64"/>
      <c r="S86" s="64"/>
      <c r="T86" s="64"/>
      <c r="U86" s="110">
        <v>45179.65729166667</v>
      </c>
      <c r="V86" s="111" t="str">
        <f>HYPERLINK("https://twitter.com/jeremyl99313994/status/1700898552883577270")</f>
        <v>https://twitter.com/jeremyl99313994/status/1700898552883577270</v>
      </c>
      <c r="W86" s="64"/>
      <c r="X86" s="64"/>
      <c r="Y86" s="136" t="s">
        <v>1344</v>
      </c>
      <c r="Z86" s="64"/>
      <c r="AA86" s="104">
        <v>14</v>
      </c>
      <c r="AB86" s="105"/>
      <c r="AC86" s="106"/>
      <c r="AD86" s="105"/>
      <c r="AE86" s="106"/>
      <c r="AF86" s="105"/>
      <c r="AG86" s="106"/>
      <c r="AH86" s="48"/>
      <c r="AI86" s="49"/>
      <c r="AJ86" s="48"/>
      <c r="AK86" s="107"/>
      <c r="AL86" s="111" t="str">
        <f>HYPERLINK("https://pbs.twimg.com/profile_images/1223036536028925952/FSgIEXZc_normal.jpg")</f>
        <v>https://pbs.twimg.com/profile_images/1223036536028925952/FSgIEXZc_normal.jpg</v>
      </c>
      <c r="AM86" s="64"/>
      <c r="AN86" s="64">
        <v>1</v>
      </c>
      <c r="AO86" s="64"/>
      <c r="AP86" s="64"/>
      <c r="AQ86" s="64" t="s">
        <v>1154</v>
      </c>
      <c r="AR86" s="64"/>
      <c r="AS86" s="136" t="s">
        <v>691</v>
      </c>
      <c r="AT86" s="64"/>
      <c r="AU86" s="64">
        <v>0</v>
      </c>
      <c r="AV86" s="136" t="s">
        <v>691</v>
      </c>
      <c r="AW86" s="136" t="s">
        <v>1149</v>
      </c>
      <c r="AX86" s="64"/>
      <c r="AY86" s="136" t="s">
        <v>1348</v>
      </c>
      <c r="AZ86" s="64"/>
      <c r="BA86" s="64"/>
      <c r="BB86" s="64"/>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1</v>
      </c>
      <c r="BM86" s="137">
        <v>45179</v>
      </c>
      <c r="BN86" s="138" t="s">
        <v>1221</v>
      </c>
      <c r="BO86" s="48"/>
      <c r="BP86" s="49"/>
      <c r="BQ86" s="48"/>
      <c r="BR86" s="49"/>
      <c r="BS86" s="48"/>
      <c r="BT86" s="49"/>
      <c r="BU86" s="107">
        <v>1</v>
      </c>
      <c r="BV86" s="64">
        <v>0</v>
      </c>
      <c r="BW86" s="64">
        <v>2055</v>
      </c>
      <c r="BX86" s="64" t="s">
        <v>1117</v>
      </c>
      <c r="BY86" s="64"/>
      <c r="BZ86" s="64"/>
      <c r="CA86" s="64"/>
      <c r="CB86" s="64"/>
      <c r="CC86" s="64"/>
      <c r="CD86" s="64"/>
      <c r="CE86" s="64"/>
      <c r="CF86" s="64"/>
      <c r="CG86" s="64"/>
      <c r="CH86" s="64"/>
      <c r="CI86" s="64"/>
      <c r="CJ86" s="64"/>
      <c r="CK86" s="136" t="s">
        <v>1348</v>
      </c>
      <c r="CL86" s="136" t="s">
        <v>1416</v>
      </c>
      <c r="CM86" s="136" t="s">
        <v>1348</v>
      </c>
      <c r="CN86" s="136" t="s">
        <v>1437</v>
      </c>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row>
    <row r="87" spans="1:128" ht="15">
      <c r="A87" s="62" t="s">
        <v>923</v>
      </c>
      <c r="B87" s="62" t="s">
        <v>958</v>
      </c>
      <c r="C87" s="78" t="s">
        <v>715</v>
      </c>
      <c r="D87" s="84">
        <v>10</v>
      </c>
      <c r="E87" s="85" t="s">
        <v>135</v>
      </c>
      <c r="F87" s="86">
        <v>6</v>
      </c>
      <c r="G87" s="78"/>
      <c r="H87" s="70"/>
      <c r="I87" s="87"/>
      <c r="J87" s="87"/>
      <c r="K87" s="34" t="s">
        <v>65</v>
      </c>
      <c r="L87" s="103">
        <v>87</v>
      </c>
      <c r="M87" s="103"/>
      <c r="N87" s="89"/>
      <c r="O87" s="64" t="s">
        <v>967</v>
      </c>
      <c r="P87" s="110">
        <v>45180.97091435185</v>
      </c>
      <c r="Q87" s="64" t="s">
        <v>1024</v>
      </c>
      <c r="R87" s="64"/>
      <c r="S87" s="64"/>
      <c r="T87" s="64"/>
      <c r="U87" s="110">
        <v>45180.97091435185</v>
      </c>
      <c r="V87" s="111" t="str">
        <f>HYPERLINK("https://twitter.com/jeremyl99313994/status/1701374592928133497")</f>
        <v>https://twitter.com/jeremyl99313994/status/1701374592928133497</v>
      </c>
      <c r="W87" s="64"/>
      <c r="X87" s="64"/>
      <c r="Y87" s="136" t="s">
        <v>1338</v>
      </c>
      <c r="Z87" s="64"/>
      <c r="AA87" s="104">
        <v>14</v>
      </c>
      <c r="AB87" s="105"/>
      <c r="AC87" s="106"/>
      <c r="AD87" s="105"/>
      <c r="AE87" s="106"/>
      <c r="AF87" s="105"/>
      <c r="AG87" s="106"/>
      <c r="AH87" s="48">
        <v>4</v>
      </c>
      <c r="AI87" s="49">
        <v>100</v>
      </c>
      <c r="AJ87" s="48">
        <v>4</v>
      </c>
      <c r="AK87" s="107"/>
      <c r="AL87" s="111" t="str">
        <f>HYPERLINK("https://pbs.twimg.com/profile_images/1223036536028925952/FSgIEXZc_normal.jpg")</f>
        <v>https://pbs.twimg.com/profile_images/1223036536028925952/FSgIEXZc_normal.jpg</v>
      </c>
      <c r="AM87" s="64"/>
      <c r="AN87" s="64">
        <v>0</v>
      </c>
      <c r="AO87" s="64"/>
      <c r="AP87" s="64"/>
      <c r="AQ87" s="64" t="s">
        <v>1154</v>
      </c>
      <c r="AR87" s="64"/>
      <c r="AS87" s="136" t="s">
        <v>691</v>
      </c>
      <c r="AT87" s="64"/>
      <c r="AU87" s="64">
        <v>0</v>
      </c>
      <c r="AV87" s="136" t="s">
        <v>691</v>
      </c>
      <c r="AW87" s="136" t="s">
        <v>1149</v>
      </c>
      <c r="AX87" s="64"/>
      <c r="AY87" s="136" t="s">
        <v>1397</v>
      </c>
      <c r="AZ87" s="64"/>
      <c r="BA87" s="64"/>
      <c r="BB87" s="64"/>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37">
        <v>45180</v>
      </c>
      <c r="BN87" s="138" t="s">
        <v>1215</v>
      </c>
      <c r="BO87" s="48">
        <v>0</v>
      </c>
      <c r="BP87" s="49">
        <v>0</v>
      </c>
      <c r="BQ87" s="48">
        <v>0</v>
      </c>
      <c r="BR87" s="49">
        <v>0</v>
      </c>
      <c r="BS87" s="48">
        <v>0</v>
      </c>
      <c r="BT87" s="49">
        <v>0</v>
      </c>
      <c r="BU87" s="107">
        <v>1</v>
      </c>
      <c r="BV87" s="64">
        <v>0</v>
      </c>
      <c r="BW87" s="64">
        <v>977</v>
      </c>
      <c r="BX87" s="64" t="s">
        <v>1115</v>
      </c>
      <c r="BY87" s="64"/>
      <c r="BZ87" s="64"/>
      <c r="CA87" s="64"/>
      <c r="CB87" s="64"/>
      <c r="CC87" s="64"/>
      <c r="CD87" s="64"/>
      <c r="CE87" s="64"/>
      <c r="CF87" s="64"/>
      <c r="CG87" s="64"/>
      <c r="CH87" s="64"/>
      <c r="CI87" s="64"/>
      <c r="CJ87" s="64"/>
      <c r="CK87" s="136" t="s">
        <v>1397</v>
      </c>
      <c r="CL87" s="136" t="s">
        <v>1414</v>
      </c>
      <c r="CM87" s="136" t="s">
        <v>1397</v>
      </c>
      <c r="CN87" s="136" t="s">
        <v>1437</v>
      </c>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row>
    <row r="88" spans="1:128" ht="15">
      <c r="A88" s="62" t="s">
        <v>923</v>
      </c>
      <c r="B88" s="62" t="s">
        <v>958</v>
      </c>
      <c r="C88" s="78" t="s">
        <v>715</v>
      </c>
      <c r="D88" s="84">
        <v>10</v>
      </c>
      <c r="E88" s="85" t="s">
        <v>135</v>
      </c>
      <c r="F88" s="86">
        <v>6</v>
      </c>
      <c r="G88" s="78"/>
      <c r="H88" s="70"/>
      <c r="I88" s="87"/>
      <c r="J88" s="87"/>
      <c r="K88" s="34" t="s">
        <v>65</v>
      </c>
      <c r="L88" s="103">
        <v>88</v>
      </c>
      <c r="M88" s="103"/>
      <c r="N88" s="89"/>
      <c r="O88" s="64" t="s">
        <v>967</v>
      </c>
      <c r="P88" s="110">
        <v>45177.1862962963</v>
      </c>
      <c r="Q88" s="64" t="s">
        <v>1029</v>
      </c>
      <c r="R88" s="64"/>
      <c r="S88" s="64"/>
      <c r="T88" s="64"/>
      <c r="U88" s="110">
        <v>45177.1862962963</v>
      </c>
      <c r="V88" s="111" t="str">
        <f>HYPERLINK("https://twitter.com/jeremyl99313994/status/1700003093323386901")</f>
        <v>https://twitter.com/jeremyl99313994/status/1700003093323386901</v>
      </c>
      <c r="W88" s="64"/>
      <c r="X88" s="64"/>
      <c r="Y88" s="136" t="s">
        <v>1345</v>
      </c>
      <c r="Z88" s="64"/>
      <c r="AA88" s="104">
        <v>14</v>
      </c>
      <c r="AB88" s="105"/>
      <c r="AC88" s="106"/>
      <c r="AD88" s="105"/>
      <c r="AE88" s="106"/>
      <c r="AF88" s="105"/>
      <c r="AG88" s="106"/>
      <c r="AH88" s="48"/>
      <c r="AI88" s="49"/>
      <c r="AJ88" s="48"/>
      <c r="AK88" s="107"/>
      <c r="AL88" s="111" t="str">
        <f>HYPERLINK("https://pbs.twimg.com/profile_images/1223036536028925952/FSgIEXZc_normal.jpg")</f>
        <v>https://pbs.twimg.com/profile_images/1223036536028925952/FSgIEXZc_normal.jpg</v>
      </c>
      <c r="AM88" s="64"/>
      <c r="AN88" s="64">
        <v>0</v>
      </c>
      <c r="AO88" s="64"/>
      <c r="AP88" s="64"/>
      <c r="AQ88" s="64" t="s">
        <v>1154</v>
      </c>
      <c r="AR88" s="64"/>
      <c r="AS88" s="136" t="s">
        <v>691</v>
      </c>
      <c r="AT88" s="64"/>
      <c r="AU88" s="64">
        <v>0</v>
      </c>
      <c r="AV88" s="136" t="s">
        <v>691</v>
      </c>
      <c r="AW88" s="136" t="s">
        <v>1149</v>
      </c>
      <c r="AX88" s="64"/>
      <c r="AY88" s="136" t="s">
        <v>1356</v>
      </c>
      <c r="AZ88" s="64"/>
      <c r="BA88" s="64"/>
      <c r="BB88" s="64"/>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45177</v>
      </c>
      <c r="BN88" s="138" t="s">
        <v>1222</v>
      </c>
      <c r="BO88" s="48"/>
      <c r="BP88" s="49"/>
      <c r="BQ88" s="48"/>
      <c r="BR88" s="49"/>
      <c r="BS88" s="48"/>
      <c r="BT88" s="49"/>
      <c r="BU88" s="107">
        <v>1</v>
      </c>
      <c r="BV88" s="64">
        <v>0</v>
      </c>
      <c r="BW88" s="64">
        <v>2227</v>
      </c>
      <c r="BX88" s="64" t="s">
        <v>1118</v>
      </c>
      <c r="BY88" s="64"/>
      <c r="BZ88" s="64"/>
      <c r="CA88" s="64"/>
      <c r="CB88" s="64"/>
      <c r="CC88" s="64"/>
      <c r="CD88" s="64"/>
      <c r="CE88" s="64"/>
      <c r="CF88" s="64"/>
      <c r="CG88" s="64"/>
      <c r="CH88" s="64"/>
      <c r="CI88" s="64"/>
      <c r="CJ88" s="64"/>
      <c r="CK88" s="136" t="s">
        <v>1356</v>
      </c>
      <c r="CL88" s="136" t="s">
        <v>1417</v>
      </c>
      <c r="CM88" s="136" t="s">
        <v>1356</v>
      </c>
      <c r="CN88" s="136" t="s">
        <v>1437</v>
      </c>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row>
    <row r="89" spans="1:128" ht="15">
      <c r="A89" s="62" t="s">
        <v>923</v>
      </c>
      <c r="B89" s="62" t="s">
        <v>958</v>
      </c>
      <c r="C89" s="78" t="s">
        <v>715</v>
      </c>
      <c r="D89" s="84">
        <v>10</v>
      </c>
      <c r="E89" s="85" t="s">
        <v>135</v>
      </c>
      <c r="F89" s="86">
        <v>6</v>
      </c>
      <c r="G89" s="78"/>
      <c r="H89" s="70"/>
      <c r="I89" s="87"/>
      <c r="J89" s="87"/>
      <c r="K89" s="34" t="s">
        <v>65</v>
      </c>
      <c r="L89" s="103">
        <v>89</v>
      </c>
      <c r="M89" s="103"/>
      <c r="N89" s="89"/>
      <c r="O89" s="64" t="s">
        <v>967</v>
      </c>
      <c r="P89" s="110">
        <v>45182.497407407405</v>
      </c>
      <c r="Q89" s="64" t="s">
        <v>1026</v>
      </c>
      <c r="R89" s="64"/>
      <c r="S89" s="64"/>
      <c r="T89" s="64"/>
      <c r="U89" s="110">
        <v>45182.497407407405</v>
      </c>
      <c r="V89" s="111" t="str">
        <f>HYPERLINK("https://twitter.com/jeremyl99313994/status/1701927775815496085")</f>
        <v>https://twitter.com/jeremyl99313994/status/1701927775815496085</v>
      </c>
      <c r="W89" s="64"/>
      <c r="X89" s="64"/>
      <c r="Y89" s="136" t="s">
        <v>1340</v>
      </c>
      <c r="Z89" s="64"/>
      <c r="AA89" s="104">
        <v>14</v>
      </c>
      <c r="AB89" s="105"/>
      <c r="AC89" s="106"/>
      <c r="AD89" s="105"/>
      <c r="AE89" s="106"/>
      <c r="AF89" s="105"/>
      <c r="AG89" s="106"/>
      <c r="AH89" s="48">
        <v>4</v>
      </c>
      <c r="AI89" s="49">
        <v>100</v>
      </c>
      <c r="AJ89" s="48">
        <v>4</v>
      </c>
      <c r="AK89" s="107"/>
      <c r="AL89" s="111" t="str">
        <f>HYPERLINK("https://pbs.twimg.com/profile_images/1223036536028925952/FSgIEXZc_normal.jpg")</f>
        <v>https://pbs.twimg.com/profile_images/1223036536028925952/FSgIEXZc_normal.jpg</v>
      </c>
      <c r="AM89" s="64"/>
      <c r="AN89" s="64">
        <v>0</v>
      </c>
      <c r="AO89" s="64"/>
      <c r="AP89" s="64"/>
      <c r="AQ89" s="64" t="s">
        <v>1154</v>
      </c>
      <c r="AR89" s="64"/>
      <c r="AS89" s="136" t="s">
        <v>691</v>
      </c>
      <c r="AT89" s="64"/>
      <c r="AU89" s="64">
        <v>0</v>
      </c>
      <c r="AV89" s="136" t="s">
        <v>691</v>
      </c>
      <c r="AW89" s="136" t="s">
        <v>1149</v>
      </c>
      <c r="AX89" s="64"/>
      <c r="AY89" s="136" t="s">
        <v>1339</v>
      </c>
      <c r="AZ89" s="64"/>
      <c r="BA89" s="64"/>
      <c r="BB89" s="64"/>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37">
        <v>45182</v>
      </c>
      <c r="BN89" s="138" t="s">
        <v>1217</v>
      </c>
      <c r="BO89" s="48">
        <v>0</v>
      </c>
      <c r="BP89" s="49">
        <v>0</v>
      </c>
      <c r="BQ89" s="48">
        <v>0</v>
      </c>
      <c r="BR89" s="49">
        <v>0</v>
      </c>
      <c r="BS89" s="48">
        <v>0</v>
      </c>
      <c r="BT89" s="49">
        <v>0</v>
      </c>
      <c r="BU89" s="107">
        <v>1</v>
      </c>
      <c r="BV89" s="64">
        <v>0</v>
      </c>
      <c r="BW89" s="64">
        <v>864</v>
      </c>
      <c r="BX89" s="64" t="s">
        <v>1116</v>
      </c>
      <c r="BY89" s="64"/>
      <c r="BZ89" s="64"/>
      <c r="CA89" s="64"/>
      <c r="CB89" s="64"/>
      <c r="CC89" s="64"/>
      <c r="CD89" s="64"/>
      <c r="CE89" s="64"/>
      <c r="CF89" s="64"/>
      <c r="CG89" s="64"/>
      <c r="CH89" s="64"/>
      <c r="CI89" s="64"/>
      <c r="CJ89" s="64"/>
      <c r="CK89" s="136" t="s">
        <v>1339</v>
      </c>
      <c r="CL89" s="136" t="s">
        <v>1415</v>
      </c>
      <c r="CM89" s="136" t="s">
        <v>1339</v>
      </c>
      <c r="CN89" s="136" t="s">
        <v>1437</v>
      </c>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row>
    <row r="90" spans="1:128" ht="15">
      <c r="A90" s="62" t="s">
        <v>923</v>
      </c>
      <c r="B90" s="62" t="s">
        <v>958</v>
      </c>
      <c r="C90" s="78" t="s">
        <v>715</v>
      </c>
      <c r="D90" s="84">
        <v>10</v>
      </c>
      <c r="E90" s="85" t="s">
        <v>135</v>
      </c>
      <c r="F90" s="86">
        <v>6</v>
      </c>
      <c r="G90" s="78"/>
      <c r="H90" s="70"/>
      <c r="I90" s="87"/>
      <c r="J90" s="87"/>
      <c r="K90" s="34" t="s">
        <v>65</v>
      </c>
      <c r="L90" s="103">
        <v>90</v>
      </c>
      <c r="M90" s="103"/>
      <c r="N90" s="89"/>
      <c r="O90" s="64" t="s">
        <v>967</v>
      </c>
      <c r="P90" s="110">
        <v>45181.46287037037</v>
      </c>
      <c r="Q90" s="64" t="s">
        <v>1030</v>
      </c>
      <c r="R90" s="64"/>
      <c r="S90" s="64"/>
      <c r="T90" s="64"/>
      <c r="U90" s="110">
        <v>45181.46287037037</v>
      </c>
      <c r="V90" s="111" t="str">
        <f>HYPERLINK("https://twitter.com/jeremyl99313994/status/1701552870439698704")</f>
        <v>https://twitter.com/jeremyl99313994/status/1701552870439698704</v>
      </c>
      <c r="W90" s="64"/>
      <c r="X90" s="64"/>
      <c r="Y90" s="136" t="s">
        <v>1346</v>
      </c>
      <c r="Z90" s="64"/>
      <c r="AA90" s="104">
        <v>14</v>
      </c>
      <c r="AB90" s="105"/>
      <c r="AC90" s="106"/>
      <c r="AD90" s="105"/>
      <c r="AE90" s="106"/>
      <c r="AF90" s="105"/>
      <c r="AG90" s="106"/>
      <c r="AH90" s="48"/>
      <c r="AI90" s="49"/>
      <c r="AJ90" s="48"/>
      <c r="AK90" s="107"/>
      <c r="AL90" s="111" t="str">
        <f>HYPERLINK("https://pbs.twimg.com/profile_images/1223036536028925952/FSgIEXZc_normal.jpg")</f>
        <v>https://pbs.twimg.com/profile_images/1223036536028925952/FSgIEXZc_normal.jpg</v>
      </c>
      <c r="AM90" s="64"/>
      <c r="AN90" s="64">
        <v>0</v>
      </c>
      <c r="AO90" s="64"/>
      <c r="AP90" s="64"/>
      <c r="AQ90" s="64" t="s">
        <v>1154</v>
      </c>
      <c r="AR90" s="64"/>
      <c r="AS90" s="136" t="s">
        <v>691</v>
      </c>
      <c r="AT90" s="64"/>
      <c r="AU90" s="64">
        <v>0</v>
      </c>
      <c r="AV90" s="136" t="s">
        <v>691</v>
      </c>
      <c r="AW90" s="136" t="s">
        <v>1149</v>
      </c>
      <c r="AX90" s="64"/>
      <c r="AY90" s="136" t="s">
        <v>1360</v>
      </c>
      <c r="AZ90" s="64"/>
      <c r="BA90" s="64"/>
      <c r="BB90" s="64"/>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37">
        <v>45181</v>
      </c>
      <c r="BN90" s="138" t="s">
        <v>1223</v>
      </c>
      <c r="BO90" s="48"/>
      <c r="BP90" s="49"/>
      <c r="BQ90" s="48"/>
      <c r="BR90" s="49"/>
      <c r="BS90" s="48"/>
      <c r="BT90" s="49"/>
      <c r="BU90" s="107">
        <v>0</v>
      </c>
      <c r="BV90" s="64">
        <v>0</v>
      </c>
      <c r="BW90" s="64">
        <v>278</v>
      </c>
      <c r="BX90" s="64" t="s">
        <v>1119</v>
      </c>
      <c r="BY90" s="64"/>
      <c r="BZ90" s="64"/>
      <c r="CA90" s="64"/>
      <c r="CB90" s="64"/>
      <c r="CC90" s="64"/>
      <c r="CD90" s="64"/>
      <c r="CE90" s="64"/>
      <c r="CF90" s="64"/>
      <c r="CG90" s="64"/>
      <c r="CH90" s="64"/>
      <c r="CI90" s="64"/>
      <c r="CJ90" s="64"/>
      <c r="CK90" s="136" t="s">
        <v>1360</v>
      </c>
      <c r="CL90" s="136" t="s">
        <v>1418</v>
      </c>
      <c r="CM90" s="136" t="s">
        <v>1360</v>
      </c>
      <c r="CN90" s="136" t="s">
        <v>1437</v>
      </c>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row>
    <row r="91" spans="1:128" ht="15">
      <c r="A91" s="62" t="s">
        <v>929</v>
      </c>
      <c r="B91" s="62" t="s">
        <v>929</v>
      </c>
      <c r="C91" s="78" t="s">
        <v>899</v>
      </c>
      <c r="D91" s="84">
        <v>10</v>
      </c>
      <c r="E91" s="85" t="s">
        <v>135</v>
      </c>
      <c r="F91" s="86">
        <v>14.461538461538462</v>
      </c>
      <c r="G91" s="78"/>
      <c r="H91" s="70"/>
      <c r="I91" s="87"/>
      <c r="J91" s="87"/>
      <c r="K91" s="34" t="s">
        <v>65</v>
      </c>
      <c r="L91" s="103">
        <v>91</v>
      </c>
      <c r="M91" s="103"/>
      <c r="N91" s="89"/>
      <c r="O91" s="64" t="s">
        <v>183</v>
      </c>
      <c r="P91" s="110">
        <v>45176.998611111114</v>
      </c>
      <c r="Q91" s="64" t="s">
        <v>1031</v>
      </c>
      <c r="R91" s="111" t="str">
        <f>HYPERLINK("https://bookstash.io/")</f>
        <v>https://bookstash.io/</v>
      </c>
      <c r="S91" s="64" t="s">
        <v>1093</v>
      </c>
      <c r="T91" s="136" t="s">
        <v>1073</v>
      </c>
      <c r="U91" s="110">
        <v>45176.998611111114</v>
      </c>
      <c r="V91" s="111" t="str">
        <f>HYPERLINK("https://twitter.com/hitw93/status/1699935076702695905")</f>
        <v>https://twitter.com/hitw93/status/1699935076702695905</v>
      </c>
      <c r="W91" s="64"/>
      <c r="X91" s="64"/>
      <c r="Y91" s="136" t="s">
        <v>1347</v>
      </c>
      <c r="Z91" s="64"/>
      <c r="AA91" s="104">
        <v>3</v>
      </c>
      <c r="AB91" s="105"/>
      <c r="AC91" s="106"/>
      <c r="AD91" s="105"/>
      <c r="AE91" s="106"/>
      <c r="AF91" s="105"/>
      <c r="AG91" s="106"/>
      <c r="AH91" s="48">
        <v>10</v>
      </c>
      <c r="AI91" s="49">
        <v>100</v>
      </c>
      <c r="AJ91" s="48">
        <v>10</v>
      </c>
      <c r="AK91" s="107" t="s">
        <v>1135</v>
      </c>
      <c r="AL91" s="111" t="str">
        <f>HYPERLINK("https://pbs.twimg.com/media/F5G7q12aQAAYAEp.jpg")</f>
        <v>https://pbs.twimg.com/media/F5G7q12aQAAYAEp.jpg</v>
      </c>
      <c r="AM91" s="64"/>
      <c r="AN91" s="64">
        <v>928</v>
      </c>
      <c r="AO91" s="64"/>
      <c r="AP91" s="64"/>
      <c r="AQ91" s="64" t="s">
        <v>1155</v>
      </c>
      <c r="AR91" s="64" t="b">
        <v>0</v>
      </c>
      <c r="AS91" s="136" t="s">
        <v>691</v>
      </c>
      <c r="AT91" s="64"/>
      <c r="AU91" s="64">
        <v>265</v>
      </c>
      <c r="AV91" s="136" t="s">
        <v>691</v>
      </c>
      <c r="AW91" s="136" t="s">
        <v>1148</v>
      </c>
      <c r="AX91" s="64"/>
      <c r="AY91" s="136" t="s">
        <v>1347</v>
      </c>
      <c r="AZ91" s="64"/>
      <c r="BA91" s="64"/>
      <c r="BB91" s="64"/>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1</v>
      </c>
      <c r="BM91" s="137">
        <v>45176</v>
      </c>
      <c r="BN91" s="138" t="s">
        <v>1224</v>
      </c>
      <c r="BO91" s="48">
        <v>0</v>
      </c>
      <c r="BP91" s="49">
        <v>0</v>
      </c>
      <c r="BQ91" s="48">
        <v>0</v>
      </c>
      <c r="BR91" s="49">
        <v>0</v>
      </c>
      <c r="BS91" s="48">
        <v>0</v>
      </c>
      <c r="BT91" s="49">
        <v>0</v>
      </c>
      <c r="BU91" s="107">
        <v>14</v>
      </c>
      <c r="BV91" s="64">
        <v>5</v>
      </c>
      <c r="BW91" s="64">
        <v>79929</v>
      </c>
      <c r="BX91" s="64"/>
      <c r="BY91" s="64"/>
      <c r="BZ91" s="64" t="s">
        <v>1142</v>
      </c>
      <c r="CA91" s="64"/>
      <c r="CB91" s="64"/>
      <c r="CC91" s="64"/>
      <c r="CD91" s="64" t="s">
        <v>1276</v>
      </c>
      <c r="CE91" s="64"/>
      <c r="CF91" s="64"/>
      <c r="CG91" s="64"/>
      <c r="CH91" s="64"/>
      <c r="CI91" s="64"/>
      <c r="CJ91" s="64"/>
      <c r="CK91" s="136" t="s">
        <v>1347</v>
      </c>
      <c r="CL91" s="64"/>
      <c r="CM91" s="136" t="s">
        <v>691</v>
      </c>
      <c r="CN91" s="136" t="s">
        <v>1416</v>
      </c>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row>
    <row r="92" spans="1:128" ht="15">
      <c r="A92" s="62" t="s">
        <v>929</v>
      </c>
      <c r="B92" s="62" t="s">
        <v>929</v>
      </c>
      <c r="C92" s="78" t="s">
        <v>899</v>
      </c>
      <c r="D92" s="84">
        <v>10</v>
      </c>
      <c r="E92" s="85" t="s">
        <v>135</v>
      </c>
      <c r="F92" s="86">
        <v>14.461538461538462</v>
      </c>
      <c r="G92" s="78"/>
      <c r="H92" s="70"/>
      <c r="I92" s="87"/>
      <c r="J92" s="87"/>
      <c r="K92" s="34" t="s">
        <v>65</v>
      </c>
      <c r="L92" s="103">
        <v>92</v>
      </c>
      <c r="M92" s="103"/>
      <c r="N92" s="89"/>
      <c r="O92" s="64" t="s">
        <v>183</v>
      </c>
      <c r="P92" s="110">
        <v>45179.52033564815</v>
      </c>
      <c r="Q92" s="64" t="s">
        <v>1032</v>
      </c>
      <c r="R92" s="64"/>
      <c r="S92" s="64"/>
      <c r="T92" s="136" t="s">
        <v>1074</v>
      </c>
      <c r="U92" s="110">
        <v>45179.52033564815</v>
      </c>
      <c r="V92" s="111" t="str">
        <f>HYPERLINK("https://twitter.com/hitw93/status/1700848918328910038")</f>
        <v>https://twitter.com/hitw93/status/1700848918328910038</v>
      </c>
      <c r="W92" s="64"/>
      <c r="X92" s="64"/>
      <c r="Y92" s="136" t="s">
        <v>1348</v>
      </c>
      <c r="Z92" s="64"/>
      <c r="AA92" s="104">
        <v>3</v>
      </c>
      <c r="AB92" s="105"/>
      <c r="AC92" s="106"/>
      <c r="AD92" s="105"/>
      <c r="AE92" s="106"/>
      <c r="AF92" s="105"/>
      <c r="AG92" s="106"/>
      <c r="AH92" s="48">
        <v>11</v>
      </c>
      <c r="AI92" s="49">
        <v>100</v>
      </c>
      <c r="AJ92" s="48">
        <v>11</v>
      </c>
      <c r="AK92" s="107"/>
      <c r="AL92" s="111" t="str">
        <f>HYPERLINK("https://pbs.twimg.com/profile_images/1540397753586528256/SFkyn7LD_normal.jpg")</f>
        <v>https://pbs.twimg.com/profile_images/1540397753586528256/SFkyn7LD_normal.jpg</v>
      </c>
      <c r="AM92" s="64"/>
      <c r="AN92" s="64">
        <v>1098</v>
      </c>
      <c r="AO92" s="64"/>
      <c r="AP92" s="64"/>
      <c r="AQ92" s="64" t="s">
        <v>1155</v>
      </c>
      <c r="AR92" s="64"/>
      <c r="AS92" s="136" t="s">
        <v>691</v>
      </c>
      <c r="AT92" s="64"/>
      <c r="AU92" s="64">
        <v>388</v>
      </c>
      <c r="AV92" s="136" t="s">
        <v>691</v>
      </c>
      <c r="AW92" s="136" t="s">
        <v>1148</v>
      </c>
      <c r="AX92" s="64"/>
      <c r="AY92" s="136" t="s">
        <v>1348</v>
      </c>
      <c r="AZ92" s="64"/>
      <c r="BA92" s="64"/>
      <c r="BB92" s="64"/>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137">
        <v>45179</v>
      </c>
      <c r="BN92" s="138" t="s">
        <v>1225</v>
      </c>
      <c r="BO92" s="48">
        <v>0</v>
      </c>
      <c r="BP92" s="49">
        <v>0</v>
      </c>
      <c r="BQ92" s="48">
        <v>0</v>
      </c>
      <c r="BR92" s="49">
        <v>0</v>
      </c>
      <c r="BS92" s="48">
        <v>0</v>
      </c>
      <c r="BT92" s="49">
        <v>0</v>
      </c>
      <c r="BU92" s="107">
        <v>47</v>
      </c>
      <c r="BV92" s="64">
        <v>15</v>
      </c>
      <c r="BW92" s="64">
        <v>168228</v>
      </c>
      <c r="BX92" s="64"/>
      <c r="BY92" s="64"/>
      <c r="BZ92" s="64"/>
      <c r="CA92" s="64"/>
      <c r="CB92" s="64"/>
      <c r="CC92" s="64"/>
      <c r="CD92" s="64"/>
      <c r="CE92" s="64"/>
      <c r="CF92" s="64"/>
      <c r="CG92" s="64"/>
      <c r="CH92" s="64"/>
      <c r="CI92" s="64"/>
      <c r="CJ92" s="64"/>
      <c r="CK92" s="136" t="s">
        <v>1348</v>
      </c>
      <c r="CL92" s="64"/>
      <c r="CM92" s="136" t="s">
        <v>691</v>
      </c>
      <c r="CN92" s="136" t="s">
        <v>1416</v>
      </c>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row>
    <row r="93" spans="1:128" ht="15">
      <c r="A93" s="62" t="s">
        <v>929</v>
      </c>
      <c r="B93" s="62" t="s">
        <v>929</v>
      </c>
      <c r="C93" s="78" t="s">
        <v>899</v>
      </c>
      <c r="D93" s="84">
        <v>10</v>
      </c>
      <c r="E93" s="85" t="s">
        <v>135</v>
      </c>
      <c r="F93" s="86">
        <v>14.461538461538462</v>
      </c>
      <c r="G93" s="78"/>
      <c r="H93" s="70"/>
      <c r="I93" s="87"/>
      <c r="J93" s="87"/>
      <c r="K93" s="34" t="s">
        <v>65</v>
      </c>
      <c r="L93" s="103">
        <v>93</v>
      </c>
      <c r="M93" s="103"/>
      <c r="N93" s="89"/>
      <c r="O93" s="64" t="s">
        <v>183</v>
      </c>
      <c r="P93" s="110">
        <v>45182.04392361111</v>
      </c>
      <c r="Q93" s="64" t="s">
        <v>1033</v>
      </c>
      <c r="R93" s="111" t="str">
        <f>HYPERLINK("https://thorium.rocks/")</f>
        <v>https://thorium.rocks/</v>
      </c>
      <c r="S93" s="64" t="s">
        <v>1094</v>
      </c>
      <c r="T93" s="136" t="s">
        <v>1075</v>
      </c>
      <c r="U93" s="110">
        <v>45182.04392361111</v>
      </c>
      <c r="V93" s="111" t="str">
        <f>HYPERLINK("https://twitter.com/hitw93/status/1701763438538801249")</f>
        <v>https://twitter.com/hitw93/status/1701763438538801249</v>
      </c>
      <c r="W93" s="64"/>
      <c r="X93" s="64"/>
      <c r="Y93" s="136" t="s">
        <v>1349</v>
      </c>
      <c r="Z93" s="64"/>
      <c r="AA93" s="104">
        <v>3</v>
      </c>
      <c r="AB93" s="105"/>
      <c r="AC93" s="106"/>
      <c r="AD93" s="105"/>
      <c r="AE93" s="106"/>
      <c r="AF93" s="105"/>
      <c r="AG93" s="106"/>
      <c r="AH93" s="48">
        <v>19</v>
      </c>
      <c r="AI93" s="49">
        <v>100</v>
      </c>
      <c r="AJ93" s="48">
        <v>19</v>
      </c>
      <c r="AK93" s="107" t="s">
        <v>1136</v>
      </c>
      <c r="AL93" s="111" t="str">
        <f>HYPERLINK("https://pbs.twimg.com/media/F53goAubwAAQLsB.jpg")</f>
        <v>https://pbs.twimg.com/media/F53goAubwAAQLsB.jpg</v>
      </c>
      <c r="AM93" s="64"/>
      <c r="AN93" s="64">
        <v>525</v>
      </c>
      <c r="AO93" s="64"/>
      <c r="AP93" s="64"/>
      <c r="AQ93" s="64" t="s">
        <v>1155</v>
      </c>
      <c r="AR93" s="64" t="b">
        <v>0</v>
      </c>
      <c r="AS93" s="136" t="s">
        <v>691</v>
      </c>
      <c r="AT93" s="64"/>
      <c r="AU93" s="64">
        <v>139</v>
      </c>
      <c r="AV93" s="136" t="s">
        <v>691</v>
      </c>
      <c r="AW93" s="136" t="s">
        <v>1148</v>
      </c>
      <c r="AX93" s="64"/>
      <c r="AY93" s="136" t="s">
        <v>1349</v>
      </c>
      <c r="AZ93" s="64"/>
      <c r="BA93" s="64"/>
      <c r="BB93" s="64"/>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1</v>
      </c>
      <c r="BM93" s="137">
        <v>45182</v>
      </c>
      <c r="BN93" s="138" t="s">
        <v>1226</v>
      </c>
      <c r="BO93" s="48">
        <v>0</v>
      </c>
      <c r="BP93" s="49">
        <v>0</v>
      </c>
      <c r="BQ93" s="48">
        <v>0</v>
      </c>
      <c r="BR93" s="49">
        <v>0</v>
      </c>
      <c r="BS93" s="48">
        <v>0</v>
      </c>
      <c r="BT93" s="49">
        <v>0</v>
      </c>
      <c r="BU93" s="107">
        <v>31</v>
      </c>
      <c r="BV93" s="64">
        <v>6</v>
      </c>
      <c r="BW93" s="64">
        <v>90844</v>
      </c>
      <c r="BX93" s="64"/>
      <c r="BY93" s="64"/>
      <c r="BZ93" s="64" t="s">
        <v>1142</v>
      </c>
      <c r="CA93" s="64"/>
      <c r="CB93" s="64"/>
      <c r="CC93" s="64"/>
      <c r="CD93" s="64" t="s">
        <v>1277</v>
      </c>
      <c r="CE93" s="64"/>
      <c r="CF93" s="64"/>
      <c r="CG93" s="64"/>
      <c r="CH93" s="64"/>
      <c r="CI93" s="64"/>
      <c r="CJ93" s="64"/>
      <c r="CK93" s="136" t="s">
        <v>1349</v>
      </c>
      <c r="CL93" s="64"/>
      <c r="CM93" s="136" t="s">
        <v>691</v>
      </c>
      <c r="CN93" s="136" t="s">
        <v>1416</v>
      </c>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row>
    <row r="94" spans="1:128" ht="15">
      <c r="A94" s="62" t="s">
        <v>923</v>
      </c>
      <c r="B94" s="62" t="s">
        <v>929</v>
      </c>
      <c r="C94" s="78" t="s">
        <v>899</v>
      </c>
      <c r="D94" s="84">
        <v>10</v>
      </c>
      <c r="E94" s="85" t="s">
        <v>135</v>
      </c>
      <c r="F94" s="86">
        <v>14.461538461538462</v>
      </c>
      <c r="G94" s="78"/>
      <c r="H94" s="70"/>
      <c r="I94" s="87"/>
      <c r="J94" s="87"/>
      <c r="K94" s="34" t="s">
        <v>65</v>
      </c>
      <c r="L94" s="103">
        <v>94</v>
      </c>
      <c r="M94" s="103"/>
      <c r="N94" s="89"/>
      <c r="O94" s="64" t="s">
        <v>965</v>
      </c>
      <c r="P94" s="110">
        <v>45179.65721064815</v>
      </c>
      <c r="Q94" s="64" t="s">
        <v>1034</v>
      </c>
      <c r="R94" s="64"/>
      <c r="S94" s="64"/>
      <c r="T94" s="136" t="s">
        <v>1074</v>
      </c>
      <c r="U94" s="110">
        <v>45179.65721064815</v>
      </c>
      <c r="V94" s="111" t="str">
        <f>HYPERLINK("https://twitter.com/jeremyl99313994/status/1700898524114899378")</f>
        <v>https://twitter.com/jeremyl99313994/status/1700898524114899378</v>
      </c>
      <c r="W94" s="64"/>
      <c r="X94" s="64"/>
      <c r="Y94" s="136" t="s">
        <v>1350</v>
      </c>
      <c r="Z94" s="64"/>
      <c r="AA94" s="104">
        <v>3</v>
      </c>
      <c r="AB94" s="105"/>
      <c r="AC94" s="106"/>
      <c r="AD94" s="105"/>
      <c r="AE94" s="106"/>
      <c r="AF94" s="105"/>
      <c r="AG94" s="106"/>
      <c r="AH94" s="48">
        <v>12</v>
      </c>
      <c r="AI94" s="49">
        <v>92.3076923076923</v>
      </c>
      <c r="AJ94" s="48">
        <v>13</v>
      </c>
      <c r="AK94" s="107"/>
      <c r="AL94" s="111" t="str">
        <f>HYPERLINK("https://pbs.twimg.com/profile_images/1223036536028925952/FSgIEXZc_normal.jpg")</f>
        <v>https://pbs.twimg.com/profile_images/1223036536028925952/FSgIEXZc_normal.jpg</v>
      </c>
      <c r="AM94" s="64"/>
      <c r="AN94" s="64">
        <v>0</v>
      </c>
      <c r="AO94" s="64"/>
      <c r="AP94" s="64"/>
      <c r="AQ94" s="64" t="s">
        <v>1155</v>
      </c>
      <c r="AR94" s="64"/>
      <c r="AS94" s="136" t="s">
        <v>691</v>
      </c>
      <c r="AT94" s="64"/>
      <c r="AU94" s="64">
        <v>388</v>
      </c>
      <c r="AV94" s="136" t="s">
        <v>1348</v>
      </c>
      <c r="AW94" s="136" t="s">
        <v>1149</v>
      </c>
      <c r="AX94" s="64"/>
      <c r="AY94" s="136" t="s">
        <v>1348</v>
      </c>
      <c r="AZ94" s="64"/>
      <c r="BA94" s="64"/>
      <c r="BB94" s="64"/>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137">
        <v>45179</v>
      </c>
      <c r="BN94" s="138" t="s">
        <v>1227</v>
      </c>
      <c r="BO94" s="48">
        <v>0</v>
      </c>
      <c r="BP94" s="49">
        <v>0</v>
      </c>
      <c r="BQ94" s="48">
        <v>0</v>
      </c>
      <c r="BR94" s="49">
        <v>0</v>
      </c>
      <c r="BS94" s="48">
        <v>0</v>
      </c>
      <c r="BT94" s="49">
        <v>0</v>
      </c>
      <c r="BU94" s="107">
        <v>0</v>
      </c>
      <c r="BV94" s="64">
        <v>0</v>
      </c>
      <c r="BW94" s="64"/>
      <c r="BX94" s="64" t="s">
        <v>929</v>
      </c>
      <c r="BY94" s="64"/>
      <c r="BZ94" s="64"/>
      <c r="CA94" s="64"/>
      <c r="CB94" s="64"/>
      <c r="CC94" s="64"/>
      <c r="CD94" s="64"/>
      <c r="CE94" s="64"/>
      <c r="CF94" s="64"/>
      <c r="CG94" s="64"/>
      <c r="CH94" s="64"/>
      <c r="CI94" s="64"/>
      <c r="CJ94" s="64"/>
      <c r="CK94" s="136" t="s">
        <v>1350</v>
      </c>
      <c r="CL94" s="64"/>
      <c r="CM94" s="136" t="s">
        <v>691</v>
      </c>
      <c r="CN94" s="136" t="s">
        <v>1437</v>
      </c>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row>
    <row r="95" spans="1:128" ht="15">
      <c r="A95" s="62" t="s">
        <v>923</v>
      </c>
      <c r="B95" s="62" t="s">
        <v>929</v>
      </c>
      <c r="C95" s="78" t="s">
        <v>899</v>
      </c>
      <c r="D95" s="84">
        <v>10</v>
      </c>
      <c r="E95" s="85" t="s">
        <v>135</v>
      </c>
      <c r="F95" s="86">
        <v>14.461538461538462</v>
      </c>
      <c r="G95" s="78"/>
      <c r="H95" s="70"/>
      <c r="I95" s="87"/>
      <c r="J95" s="87"/>
      <c r="K95" s="34" t="s">
        <v>65</v>
      </c>
      <c r="L95" s="103">
        <v>95</v>
      </c>
      <c r="M95" s="103"/>
      <c r="N95" s="89"/>
      <c r="O95" s="64" t="s">
        <v>966</v>
      </c>
      <c r="P95" s="110">
        <v>45177.00965277778</v>
      </c>
      <c r="Q95" s="64" t="s">
        <v>1028</v>
      </c>
      <c r="R95" s="64"/>
      <c r="S95" s="64"/>
      <c r="T95" s="64"/>
      <c r="U95" s="110">
        <v>45177.00965277778</v>
      </c>
      <c r="V95" s="111" t="str">
        <f>HYPERLINK("https://twitter.com/jeremyl99313994/status/1699939080648425550")</f>
        <v>https://twitter.com/jeremyl99313994/status/1699939080648425550</v>
      </c>
      <c r="W95" s="64"/>
      <c r="X95" s="64"/>
      <c r="Y95" s="136" t="s">
        <v>1342</v>
      </c>
      <c r="Z95" s="64"/>
      <c r="AA95" s="104">
        <v>3</v>
      </c>
      <c r="AB95" s="105"/>
      <c r="AC95" s="106"/>
      <c r="AD95" s="105"/>
      <c r="AE95" s="106"/>
      <c r="AF95" s="105"/>
      <c r="AG95" s="106"/>
      <c r="AH95" s="48">
        <v>4</v>
      </c>
      <c r="AI95" s="49">
        <v>100</v>
      </c>
      <c r="AJ95" s="48">
        <v>4</v>
      </c>
      <c r="AK95" s="107"/>
      <c r="AL95" s="111" t="str">
        <f>HYPERLINK("https://pbs.twimg.com/profile_images/1223036536028925952/FSgIEXZc_normal.jpg")</f>
        <v>https://pbs.twimg.com/profile_images/1223036536028925952/FSgIEXZc_normal.jpg</v>
      </c>
      <c r="AM95" s="64"/>
      <c r="AN95" s="64">
        <v>2</v>
      </c>
      <c r="AO95" s="64"/>
      <c r="AP95" s="64"/>
      <c r="AQ95" s="64" t="s">
        <v>1154</v>
      </c>
      <c r="AR95" s="64"/>
      <c r="AS95" s="136" t="s">
        <v>691</v>
      </c>
      <c r="AT95" s="64"/>
      <c r="AU95" s="64">
        <v>0</v>
      </c>
      <c r="AV95" s="136" t="s">
        <v>691</v>
      </c>
      <c r="AW95" s="136" t="s">
        <v>1149</v>
      </c>
      <c r="AX95" s="64"/>
      <c r="AY95" s="136" t="s">
        <v>1347</v>
      </c>
      <c r="AZ95" s="64"/>
      <c r="BA95" s="64"/>
      <c r="BB95" s="64"/>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1</v>
      </c>
      <c r="BM95" s="137">
        <v>45177</v>
      </c>
      <c r="BN95" s="138" t="s">
        <v>1219</v>
      </c>
      <c r="BO95" s="48">
        <v>0</v>
      </c>
      <c r="BP95" s="49">
        <v>0</v>
      </c>
      <c r="BQ95" s="48">
        <v>0</v>
      </c>
      <c r="BR95" s="49">
        <v>0</v>
      </c>
      <c r="BS95" s="48">
        <v>0</v>
      </c>
      <c r="BT95" s="49">
        <v>0</v>
      </c>
      <c r="BU95" s="107">
        <v>1</v>
      </c>
      <c r="BV95" s="64">
        <v>0</v>
      </c>
      <c r="BW95" s="64">
        <v>1785</v>
      </c>
      <c r="BX95" s="64" t="s">
        <v>1117</v>
      </c>
      <c r="BY95" s="64"/>
      <c r="BZ95" s="64"/>
      <c r="CA95" s="64"/>
      <c r="CB95" s="64"/>
      <c r="CC95" s="64"/>
      <c r="CD95" s="64"/>
      <c r="CE95" s="64"/>
      <c r="CF95" s="64"/>
      <c r="CG95" s="64"/>
      <c r="CH95" s="64"/>
      <c r="CI95" s="64"/>
      <c r="CJ95" s="64"/>
      <c r="CK95" s="136" t="s">
        <v>1347</v>
      </c>
      <c r="CL95" s="136" t="s">
        <v>1416</v>
      </c>
      <c r="CM95" s="136" t="s">
        <v>1347</v>
      </c>
      <c r="CN95" s="136" t="s">
        <v>1437</v>
      </c>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row>
    <row r="96" spans="1:128" ht="15">
      <c r="A96" s="62" t="s">
        <v>923</v>
      </c>
      <c r="B96" s="62" t="s">
        <v>929</v>
      </c>
      <c r="C96" s="78" t="s">
        <v>899</v>
      </c>
      <c r="D96" s="84">
        <v>10</v>
      </c>
      <c r="E96" s="85" t="s">
        <v>135</v>
      </c>
      <c r="F96" s="86">
        <v>14.461538461538462</v>
      </c>
      <c r="G96" s="78"/>
      <c r="H96" s="70"/>
      <c r="I96" s="87"/>
      <c r="J96" s="87"/>
      <c r="K96" s="34" t="s">
        <v>65</v>
      </c>
      <c r="L96" s="103">
        <v>96</v>
      </c>
      <c r="M96" s="103"/>
      <c r="N96" s="89"/>
      <c r="O96" s="64" t="s">
        <v>966</v>
      </c>
      <c r="P96" s="110">
        <v>45182.15739583333</v>
      </c>
      <c r="Q96" s="64" t="s">
        <v>1028</v>
      </c>
      <c r="R96" s="64"/>
      <c r="S96" s="64"/>
      <c r="T96" s="64"/>
      <c r="U96" s="110">
        <v>45182.15739583333</v>
      </c>
      <c r="V96" s="111" t="str">
        <f>HYPERLINK("https://twitter.com/jeremyl99313994/status/1701804557729468781")</f>
        <v>https://twitter.com/jeremyl99313994/status/1701804557729468781</v>
      </c>
      <c r="W96" s="64"/>
      <c r="X96" s="64"/>
      <c r="Y96" s="136" t="s">
        <v>1343</v>
      </c>
      <c r="Z96" s="64"/>
      <c r="AA96" s="104">
        <v>3</v>
      </c>
      <c r="AB96" s="105"/>
      <c r="AC96" s="106"/>
      <c r="AD96" s="105"/>
      <c r="AE96" s="106"/>
      <c r="AF96" s="105"/>
      <c r="AG96" s="106"/>
      <c r="AH96" s="48">
        <v>4</v>
      </c>
      <c r="AI96" s="49">
        <v>100</v>
      </c>
      <c r="AJ96" s="48">
        <v>4</v>
      </c>
      <c r="AK96" s="107"/>
      <c r="AL96" s="111" t="str">
        <f>HYPERLINK("https://pbs.twimg.com/profile_images/1223036536028925952/FSgIEXZc_normal.jpg")</f>
        <v>https://pbs.twimg.com/profile_images/1223036536028925952/FSgIEXZc_normal.jpg</v>
      </c>
      <c r="AM96" s="64"/>
      <c r="AN96" s="64">
        <v>0</v>
      </c>
      <c r="AO96" s="64"/>
      <c r="AP96" s="64"/>
      <c r="AQ96" s="64" t="s">
        <v>1154</v>
      </c>
      <c r="AR96" s="64"/>
      <c r="AS96" s="136" t="s">
        <v>691</v>
      </c>
      <c r="AT96" s="64"/>
      <c r="AU96" s="64">
        <v>0</v>
      </c>
      <c r="AV96" s="136" t="s">
        <v>691</v>
      </c>
      <c r="AW96" s="136" t="s">
        <v>1149</v>
      </c>
      <c r="AX96" s="64"/>
      <c r="AY96" s="136" t="s">
        <v>1349</v>
      </c>
      <c r="AZ96" s="64"/>
      <c r="BA96" s="64"/>
      <c r="BB96" s="64"/>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45182</v>
      </c>
      <c r="BN96" s="138" t="s">
        <v>1220</v>
      </c>
      <c r="BO96" s="48">
        <v>0</v>
      </c>
      <c r="BP96" s="49">
        <v>0</v>
      </c>
      <c r="BQ96" s="48">
        <v>0</v>
      </c>
      <c r="BR96" s="49">
        <v>0</v>
      </c>
      <c r="BS96" s="48">
        <v>0</v>
      </c>
      <c r="BT96" s="49">
        <v>0</v>
      </c>
      <c r="BU96" s="107">
        <v>1</v>
      </c>
      <c r="BV96" s="64">
        <v>0</v>
      </c>
      <c r="BW96" s="64">
        <v>1233</v>
      </c>
      <c r="BX96" s="64" t="s">
        <v>1117</v>
      </c>
      <c r="BY96" s="64"/>
      <c r="BZ96" s="64"/>
      <c r="CA96" s="64"/>
      <c r="CB96" s="64"/>
      <c r="CC96" s="64"/>
      <c r="CD96" s="64"/>
      <c r="CE96" s="64"/>
      <c r="CF96" s="64"/>
      <c r="CG96" s="64"/>
      <c r="CH96" s="64"/>
      <c r="CI96" s="64"/>
      <c r="CJ96" s="64"/>
      <c r="CK96" s="136" t="s">
        <v>1349</v>
      </c>
      <c r="CL96" s="136" t="s">
        <v>1416</v>
      </c>
      <c r="CM96" s="136" t="s">
        <v>1349</v>
      </c>
      <c r="CN96" s="136" t="s">
        <v>1437</v>
      </c>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row>
    <row r="97" spans="1:128" ht="15">
      <c r="A97" s="62" t="s">
        <v>923</v>
      </c>
      <c r="B97" s="62" t="s">
        <v>929</v>
      </c>
      <c r="C97" s="78" t="s">
        <v>899</v>
      </c>
      <c r="D97" s="84">
        <v>10</v>
      </c>
      <c r="E97" s="85" t="s">
        <v>135</v>
      </c>
      <c r="F97" s="86">
        <v>14.461538461538462</v>
      </c>
      <c r="G97" s="78"/>
      <c r="H97" s="70"/>
      <c r="I97" s="87"/>
      <c r="J97" s="87"/>
      <c r="K97" s="34" t="s">
        <v>65</v>
      </c>
      <c r="L97" s="103">
        <v>97</v>
      </c>
      <c r="M97" s="103"/>
      <c r="N97" s="89"/>
      <c r="O97" s="64" t="s">
        <v>966</v>
      </c>
      <c r="P97" s="110">
        <v>45179.65729166667</v>
      </c>
      <c r="Q97" s="64" t="s">
        <v>1028</v>
      </c>
      <c r="R97" s="64"/>
      <c r="S97" s="64"/>
      <c r="T97" s="64"/>
      <c r="U97" s="110">
        <v>45179.65729166667</v>
      </c>
      <c r="V97" s="111" t="str">
        <f>HYPERLINK("https://twitter.com/jeremyl99313994/status/1700898552883577270")</f>
        <v>https://twitter.com/jeremyl99313994/status/1700898552883577270</v>
      </c>
      <c r="W97" s="64"/>
      <c r="X97" s="64"/>
      <c r="Y97" s="136" t="s">
        <v>1344</v>
      </c>
      <c r="Z97" s="64"/>
      <c r="AA97" s="104">
        <v>3</v>
      </c>
      <c r="AB97" s="105"/>
      <c r="AC97" s="106"/>
      <c r="AD97" s="105"/>
      <c r="AE97" s="106"/>
      <c r="AF97" s="105"/>
      <c r="AG97" s="106"/>
      <c r="AH97" s="48">
        <v>4</v>
      </c>
      <c r="AI97" s="49">
        <v>100</v>
      </c>
      <c r="AJ97" s="48">
        <v>4</v>
      </c>
      <c r="AK97" s="107"/>
      <c r="AL97" s="111" t="str">
        <f>HYPERLINK("https://pbs.twimg.com/profile_images/1223036536028925952/FSgIEXZc_normal.jpg")</f>
        <v>https://pbs.twimg.com/profile_images/1223036536028925952/FSgIEXZc_normal.jpg</v>
      </c>
      <c r="AM97" s="64"/>
      <c r="AN97" s="64">
        <v>1</v>
      </c>
      <c r="AO97" s="64"/>
      <c r="AP97" s="64"/>
      <c r="AQ97" s="64" t="s">
        <v>1154</v>
      </c>
      <c r="AR97" s="64"/>
      <c r="AS97" s="136" t="s">
        <v>691</v>
      </c>
      <c r="AT97" s="64"/>
      <c r="AU97" s="64">
        <v>0</v>
      </c>
      <c r="AV97" s="136" t="s">
        <v>691</v>
      </c>
      <c r="AW97" s="136" t="s">
        <v>1149</v>
      </c>
      <c r="AX97" s="64"/>
      <c r="AY97" s="136" t="s">
        <v>1348</v>
      </c>
      <c r="AZ97" s="64"/>
      <c r="BA97" s="64"/>
      <c r="BB97" s="64"/>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1</v>
      </c>
      <c r="BM97" s="137">
        <v>45179</v>
      </c>
      <c r="BN97" s="138" t="s">
        <v>1221</v>
      </c>
      <c r="BO97" s="48">
        <v>0</v>
      </c>
      <c r="BP97" s="49">
        <v>0</v>
      </c>
      <c r="BQ97" s="48">
        <v>0</v>
      </c>
      <c r="BR97" s="49">
        <v>0</v>
      </c>
      <c r="BS97" s="48">
        <v>0</v>
      </c>
      <c r="BT97" s="49">
        <v>0</v>
      </c>
      <c r="BU97" s="107">
        <v>1</v>
      </c>
      <c r="BV97" s="64">
        <v>0</v>
      </c>
      <c r="BW97" s="64">
        <v>2055</v>
      </c>
      <c r="BX97" s="64" t="s">
        <v>1117</v>
      </c>
      <c r="BY97" s="64"/>
      <c r="BZ97" s="64"/>
      <c r="CA97" s="64"/>
      <c r="CB97" s="64"/>
      <c r="CC97" s="64"/>
      <c r="CD97" s="64"/>
      <c r="CE97" s="64"/>
      <c r="CF97" s="64"/>
      <c r="CG97" s="64"/>
      <c r="CH97" s="64"/>
      <c r="CI97" s="64"/>
      <c r="CJ97" s="64"/>
      <c r="CK97" s="136" t="s">
        <v>1348</v>
      </c>
      <c r="CL97" s="136" t="s">
        <v>1416</v>
      </c>
      <c r="CM97" s="136" t="s">
        <v>1348</v>
      </c>
      <c r="CN97" s="136" t="s">
        <v>1437</v>
      </c>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row>
    <row r="98" spans="1:128" ht="15">
      <c r="A98" s="62" t="s">
        <v>923</v>
      </c>
      <c r="B98" s="62" t="s">
        <v>929</v>
      </c>
      <c r="C98" s="78" t="s">
        <v>899</v>
      </c>
      <c r="D98" s="84">
        <v>10</v>
      </c>
      <c r="E98" s="85" t="s">
        <v>135</v>
      </c>
      <c r="F98" s="86">
        <v>14.461538461538462</v>
      </c>
      <c r="G98" s="78"/>
      <c r="H98" s="70"/>
      <c r="I98" s="87"/>
      <c r="J98" s="87"/>
      <c r="K98" s="34" t="s">
        <v>65</v>
      </c>
      <c r="L98" s="103">
        <v>98</v>
      </c>
      <c r="M98" s="103"/>
      <c r="N98" s="89"/>
      <c r="O98" s="64" t="s">
        <v>965</v>
      </c>
      <c r="P98" s="110">
        <v>45182.157326388886</v>
      </c>
      <c r="Q98" s="64" t="s">
        <v>1035</v>
      </c>
      <c r="R98" s="64"/>
      <c r="S98" s="64"/>
      <c r="T98" s="136" t="s">
        <v>1075</v>
      </c>
      <c r="U98" s="110">
        <v>45182.157326388886</v>
      </c>
      <c r="V98" s="111" t="str">
        <f>HYPERLINK("https://twitter.com/jeremyl99313994/status/1701804535071879594")</f>
        <v>https://twitter.com/jeremyl99313994/status/1701804535071879594</v>
      </c>
      <c r="W98" s="64"/>
      <c r="X98" s="64"/>
      <c r="Y98" s="136" t="s">
        <v>1351</v>
      </c>
      <c r="Z98" s="64"/>
      <c r="AA98" s="104">
        <v>3</v>
      </c>
      <c r="AB98" s="105"/>
      <c r="AC98" s="106"/>
      <c r="AD98" s="105"/>
      <c r="AE98" s="106"/>
      <c r="AF98" s="105"/>
      <c r="AG98" s="106"/>
      <c r="AH98" s="48">
        <v>20</v>
      </c>
      <c r="AI98" s="49">
        <v>95.23809523809524</v>
      </c>
      <c r="AJ98" s="48">
        <v>21</v>
      </c>
      <c r="AK98" s="107"/>
      <c r="AL98" s="111" t="str">
        <f>HYPERLINK("https://pbs.twimg.com/profile_images/1223036536028925952/FSgIEXZc_normal.jpg")</f>
        <v>https://pbs.twimg.com/profile_images/1223036536028925952/FSgIEXZc_normal.jpg</v>
      </c>
      <c r="AM98" s="64"/>
      <c r="AN98" s="64">
        <v>0</v>
      </c>
      <c r="AO98" s="64"/>
      <c r="AP98" s="64"/>
      <c r="AQ98" s="64" t="s">
        <v>1155</v>
      </c>
      <c r="AR98" s="64"/>
      <c r="AS98" s="136" t="s">
        <v>691</v>
      </c>
      <c r="AT98" s="64"/>
      <c r="AU98" s="64">
        <v>139</v>
      </c>
      <c r="AV98" s="136" t="s">
        <v>1349</v>
      </c>
      <c r="AW98" s="136" t="s">
        <v>1149</v>
      </c>
      <c r="AX98" s="64"/>
      <c r="AY98" s="136" t="s">
        <v>1349</v>
      </c>
      <c r="AZ98" s="64"/>
      <c r="BA98" s="64"/>
      <c r="BB98" s="64"/>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37">
        <v>45182</v>
      </c>
      <c r="BN98" s="138" t="s">
        <v>1228</v>
      </c>
      <c r="BO98" s="48">
        <v>0</v>
      </c>
      <c r="BP98" s="49">
        <v>0</v>
      </c>
      <c r="BQ98" s="48">
        <v>0</v>
      </c>
      <c r="BR98" s="49">
        <v>0</v>
      </c>
      <c r="BS98" s="48">
        <v>0</v>
      </c>
      <c r="BT98" s="49">
        <v>0</v>
      </c>
      <c r="BU98" s="107">
        <v>0</v>
      </c>
      <c r="BV98" s="64">
        <v>0</v>
      </c>
      <c r="BW98" s="64"/>
      <c r="BX98" s="64" t="s">
        <v>929</v>
      </c>
      <c r="BY98" s="64"/>
      <c r="BZ98" s="64"/>
      <c r="CA98" s="64"/>
      <c r="CB98" s="64"/>
      <c r="CC98" s="64"/>
      <c r="CD98" s="64"/>
      <c r="CE98" s="64"/>
      <c r="CF98" s="64"/>
      <c r="CG98" s="64"/>
      <c r="CH98" s="64"/>
      <c r="CI98" s="64"/>
      <c r="CJ98" s="64"/>
      <c r="CK98" s="136" t="s">
        <v>1351</v>
      </c>
      <c r="CL98" s="64"/>
      <c r="CM98" s="136" t="s">
        <v>691</v>
      </c>
      <c r="CN98" s="136" t="s">
        <v>1437</v>
      </c>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row>
    <row r="99" spans="1:128" ht="15">
      <c r="A99" s="62" t="s">
        <v>923</v>
      </c>
      <c r="B99" s="62" t="s">
        <v>929</v>
      </c>
      <c r="C99" s="78" t="s">
        <v>899</v>
      </c>
      <c r="D99" s="84">
        <v>10</v>
      </c>
      <c r="E99" s="85" t="s">
        <v>135</v>
      </c>
      <c r="F99" s="86">
        <v>14.461538461538462</v>
      </c>
      <c r="G99" s="78"/>
      <c r="H99" s="70"/>
      <c r="I99" s="87"/>
      <c r="J99" s="87"/>
      <c r="K99" s="34" t="s">
        <v>65</v>
      </c>
      <c r="L99" s="103">
        <v>99</v>
      </c>
      <c r="M99" s="103"/>
      <c r="N99" s="89"/>
      <c r="O99" s="64" t="s">
        <v>965</v>
      </c>
      <c r="P99" s="110">
        <v>45177.00954861111</v>
      </c>
      <c r="Q99" s="64" t="s">
        <v>1036</v>
      </c>
      <c r="R99" s="111" t="str">
        <f>HYPERLINK("https://bookstash.io/")</f>
        <v>https://bookstash.io/</v>
      </c>
      <c r="S99" s="64" t="s">
        <v>1093</v>
      </c>
      <c r="T99" s="136" t="s">
        <v>1073</v>
      </c>
      <c r="U99" s="110">
        <v>45177.00954861111</v>
      </c>
      <c r="V99" s="111" t="str">
        <f>HYPERLINK("https://twitter.com/jeremyl99313994/status/1699939041670762534")</f>
        <v>https://twitter.com/jeremyl99313994/status/1699939041670762534</v>
      </c>
      <c r="W99" s="64"/>
      <c r="X99" s="64"/>
      <c r="Y99" s="136" t="s">
        <v>1352</v>
      </c>
      <c r="Z99" s="64"/>
      <c r="AA99" s="104">
        <v>3</v>
      </c>
      <c r="AB99" s="105"/>
      <c r="AC99" s="106"/>
      <c r="AD99" s="105"/>
      <c r="AE99" s="106"/>
      <c r="AF99" s="105"/>
      <c r="AG99" s="106"/>
      <c r="AH99" s="48">
        <v>12</v>
      </c>
      <c r="AI99" s="49">
        <v>92.3076923076923</v>
      </c>
      <c r="AJ99" s="48">
        <v>13</v>
      </c>
      <c r="AK99" s="107"/>
      <c r="AL99" s="111" t="str">
        <f>HYPERLINK("https://pbs.twimg.com/profile_images/1223036536028925952/FSgIEXZc_normal.jpg")</f>
        <v>https://pbs.twimg.com/profile_images/1223036536028925952/FSgIEXZc_normal.jpg</v>
      </c>
      <c r="AM99" s="64"/>
      <c r="AN99" s="64">
        <v>0</v>
      </c>
      <c r="AO99" s="64"/>
      <c r="AP99" s="64"/>
      <c r="AQ99" s="64" t="s">
        <v>1155</v>
      </c>
      <c r="AR99" s="64" t="b">
        <v>0</v>
      </c>
      <c r="AS99" s="136" t="s">
        <v>691</v>
      </c>
      <c r="AT99" s="64"/>
      <c r="AU99" s="64">
        <v>265</v>
      </c>
      <c r="AV99" s="136" t="s">
        <v>1347</v>
      </c>
      <c r="AW99" s="136" t="s">
        <v>1149</v>
      </c>
      <c r="AX99" s="64"/>
      <c r="AY99" s="136" t="s">
        <v>1347</v>
      </c>
      <c r="AZ99" s="64"/>
      <c r="BA99" s="64"/>
      <c r="BB99" s="64"/>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37">
        <v>45177</v>
      </c>
      <c r="BN99" s="138" t="s">
        <v>1229</v>
      </c>
      <c r="BO99" s="48">
        <v>0</v>
      </c>
      <c r="BP99" s="49">
        <v>0</v>
      </c>
      <c r="BQ99" s="48">
        <v>0</v>
      </c>
      <c r="BR99" s="49">
        <v>0</v>
      </c>
      <c r="BS99" s="48">
        <v>0</v>
      </c>
      <c r="BT99" s="49">
        <v>0</v>
      </c>
      <c r="BU99" s="107">
        <v>0</v>
      </c>
      <c r="BV99" s="64">
        <v>0</v>
      </c>
      <c r="BW99" s="64"/>
      <c r="BX99" s="64" t="s">
        <v>929</v>
      </c>
      <c r="BY99" s="64"/>
      <c r="BZ99" s="64"/>
      <c r="CA99" s="64"/>
      <c r="CB99" s="64"/>
      <c r="CC99" s="64"/>
      <c r="CD99" s="64"/>
      <c r="CE99" s="64"/>
      <c r="CF99" s="64"/>
      <c r="CG99" s="64"/>
      <c r="CH99" s="64"/>
      <c r="CI99" s="64"/>
      <c r="CJ99" s="64"/>
      <c r="CK99" s="136" t="s">
        <v>1352</v>
      </c>
      <c r="CL99" s="64"/>
      <c r="CM99" s="136" t="s">
        <v>691</v>
      </c>
      <c r="CN99" s="136" t="s">
        <v>1437</v>
      </c>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row>
    <row r="100" spans="1:128" ht="15">
      <c r="A100" s="62" t="s">
        <v>923</v>
      </c>
      <c r="B100" s="62" t="s">
        <v>931</v>
      </c>
      <c r="C100" s="78" t="s">
        <v>714</v>
      </c>
      <c r="D100" s="84">
        <v>5</v>
      </c>
      <c r="E100" s="85" t="s">
        <v>131</v>
      </c>
      <c r="F100" s="86">
        <v>16</v>
      </c>
      <c r="G100" s="78"/>
      <c r="H100" s="70"/>
      <c r="I100" s="87"/>
      <c r="J100" s="87"/>
      <c r="K100" s="34" t="s">
        <v>65</v>
      </c>
      <c r="L100" s="103">
        <v>100</v>
      </c>
      <c r="M100" s="103"/>
      <c r="N100" s="89"/>
      <c r="O100" s="64" t="s">
        <v>965</v>
      </c>
      <c r="P100" s="110">
        <v>45177.186203703706</v>
      </c>
      <c r="Q100" s="64" t="s">
        <v>1037</v>
      </c>
      <c r="R100" s="111" t="str">
        <f>HYPERLINK("https://huggingface.co/papers/2309.03241")</f>
        <v>https://huggingface.co/papers/2309.03241</v>
      </c>
      <c r="S100" s="64" t="s">
        <v>1095</v>
      </c>
      <c r="T100" s="64"/>
      <c r="U100" s="110">
        <v>45177.186203703706</v>
      </c>
      <c r="V100" s="111" t="str">
        <f>HYPERLINK("https://twitter.com/jeremyl99313994/status/1700003060523942055")</f>
        <v>https://twitter.com/jeremyl99313994/status/1700003060523942055</v>
      </c>
      <c r="W100" s="64"/>
      <c r="X100" s="64"/>
      <c r="Y100" s="136" t="s">
        <v>1353</v>
      </c>
      <c r="Z100" s="64"/>
      <c r="AA100" s="104">
        <v>1</v>
      </c>
      <c r="AB100" s="105"/>
      <c r="AC100" s="106"/>
      <c r="AD100" s="105"/>
      <c r="AE100" s="106"/>
      <c r="AF100" s="105"/>
      <c r="AG100" s="106"/>
      <c r="AH100" s="48">
        <v>12</v>
      </c>
      <c r="AI100" s="49">
        <v>75</v>
      </c>
      <c r="AJ100" s="48">
        <v>16</v>
      </c>
      <c r="AK100" s="107"/>
      <c r="AL100" s="111" t="str">
        <f>HYPERLINK("https://pbs.twimg.com/profile_images/1223036536028925952/FSgIEXZc_normal.jpg")</f>
        <v>https://pbs.twimg.com/profile_images/1223036536028925952/FSgIEXZc_normal.jpg</v>
      </c>
      <c r="AM100" s="64"/>
      <c r="AN100" s="64">
        <v>0</v>
      </c>
      <c r="AO100" s="64"/>
      <c r="AP100" s="64"/>
      <c r="AQ100" s="64" t="s">
        <v>1154</v>
      </c>
      <c r="AR100" s="64" t="b">
        <v>0</v>
      </c>
      <c r="AS100" s="136" t="s">
        <v>691</v>
      </c>
      <c r="AT100" s="64"/>
      <c r="AU100" s="64">
        <v>184</v>
      </c>
      <c r="AV100" s="136" t="s">
        <v>1356</v>
      </c>
      <c r="AW100" s="136" t="s">
        <v>1149</v>
      </c>
      <c r="AX100" s="64"/>
      <c r="AY100" s="136" t="s">
        <v>1356</v>
      </c>
      <c r="AZ100" s="64"/>
      <c r="BA100" s="64"/>
      <c r="BB100" s="64"/>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137">
        <v>45177</v>
      </c>
      <c r="BN100" s="138" t="s">
        <v>1230</v>
      </c>
      <c r="BO100" s="48">
        <v>0</v>
      </c>
      <c r="BP100" s="49">
        <v>0</v>
      </c>
      <c r="BQ100" s="48">
        <v>0</v>
      </c>
      <c r="BR100" s="49">
        <v>0</v>
      </c>
      <c r="BS100" s="48">
        <v>0</v>
      </c>
      <c r="BT100" s="49">
        <v>0</v>
      </c>
      <c r="BU100" s="107">
        <v>0</v>
      </c>
      <c r="BV100" s="64">
        <v>0</v>
      </c>
      <c r="BW100" s="64"/>
      <c r="BX100" s="64" t="s">
        <v>931</v>
      </c>
      <c r="BY100" s="64"/>
      <c r="BZ100" s="64"/>
      <c r="CA100" s="64"/>
      <c r="CB100" s="64"/>
      <c r="CC100" s="64"/>
      <c r="CD100" s="64"/>
      <c r="CE100" s="64"/>
      <c r="CF100" s="64"/>
      <c r="CG100" s="64"/>
      <c r="CH100" s="64"/>
      <c r="CI100" s="64"/>
      <c r="CJ100" s="64"/>
      <c r="CK100" s="136" t="s">
        <v>1353</v>
      </c>
      <c r="CL100" s="64"/>
      <c r="CM100" s="136" t="s">
        <v>691</v>
      </c>
      <c r="CN100" s="136" t="s">
        <v>1437</v>
      </c>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row>
    <row r="101" spans="1:128" ht="15">
      <c r="A101" s="62" t="s">
        <v>923</v>
      </c>
      <c r="B101" s="62" t="s">
        <v>934</v>
      </c>
      <c r="C101" s="78" t="s">
        <v>714</v>
      </c>
      <c r="D101" s="84">
        <v>5</v>
      </c>
      <c r="E101" s="85" t="s">
        <v>131</v>
      </c>
      <c r="F101" s="86">
        <v>16</v>
      </c>
      <c r="G101" s="78"/>
      <c r="H101" s="70"/>
      <c r="I101" s="87"/>
      <c r="J101" s="87"/>
      <c r="K101" s="34" t="s">
        <v>65</v>
      </c>
      <c r="L101" s="103">
        <v>101</v>
      </c>
      <c r="M101" s="103"/>
      <c r="N101" s="89"/>
      <c r="O101" s="64" t="s">
        <v>965</v>
      </c>
      <c r="P101" s="110">
        <v>45181.4628125</v>
      </c>
      <c r="Q101" s="64" t="s">
        <v>1038</v>
      </c>
      <c r="R101" s="111" t="str">
        <f>HYPERLINK("https://plantegg.github.io/2017/01/01/top_linux_commands/")</f>
        <v>https://plantegg.github.io/2017/01/01/top_linux_commands/</v>
      </c>
      <c r="S101" s="64" t="s">
        <v>1096</v>
      </c>
      <c r="T101" s="64"/>
      <c r="U101" s="110">
        <v>45181.4628125</v>
      </c>
      <c r="V101" s="111" t="str">
        <f>HYPERLINK("https://twitter.com/jeremyl99313994/status/1701552851431096389")</f>
        <v>https://twitter.com/jeremyl99313994/status/1701552851431096389</v>
      </c>
      <c r="W101" s="64"/>
      <c r="X101" s="64"/>
      <c r="Y101" s="136" t="s">
        <v>1354</v>
      </c>
      <c r="Z101" s="64"/>
      <c r="AA101" s="104">
        <v>1</v>
      </c>
      <c r="AB101" s="105"/>
      <c r="AC101" s="106"/>
      <c r="AD101" s="105"/>
      <c r="AE101" s="106"/>
      <c r="AF101" s="105"/>
      <c r="AG101" s="106"/>
      <c r="AH101" s="48">
        <v>4</v>
      </c>
      <c r="AI101" s="49">
        <v>80</v>
      </c>
      <c r="AJ101" s="48">
        <v>5</v>
      </c>
      <c r="AK101" s="107" t="s">
        <v>1137</v>
      </c>
      <c r="AL101" s="111" t="str">
        <f>HYPERLINK("https://pbs.twimg.com/media/F5zPEdWakAA3C9C.jpg")</f>
        <v>https://pbs.twimg.com/media/F5zPEdWakAA3C9C.jpg</v>
      </c>
      <c r="AM101" s="64"/>
      <c r="AN101" s="64">
        <v>0</v>
      </c>
      <c r="AO101" s="64"/>
      <c r="AP101" s="64"/>
      <c r="AQ101" s="64" t="s">
        <v>1155</v>
      </c>
      <c r="AR101" s="64" t="b">
        <v>0</v>
      </c>
      <c r="AS101" s="136" t="s">
        <v>1361</v>
      </c>
      <c r="AT101" s="64"/>
      <c r="AU101" s="64">
        <v>46</v>
      </c>
      <c r="AV101" s="136" t="s">
        <v>1360</v>
      </c>
      <c r="AW101" s="136" t="s">
        <v>1149</v>
      </c>
      <c r="AX101" s="64"/>
      <c r="AY101" s="136" t="s">
        <v>1360</v>
      </c>
      <c r="AZ101" s="64"/>
      <c r="BA101" s="64"/>
      <c r="BB101" s="64"/>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45181</v>
      </c>
      <c r="BN101" s="138" t="s">
        <v>1231</v>
      </c>
      <c r="BO101" s="48">
        <v>0</v>
      </c>
      <c r="BP101" s="49">
        <v>0</v>
      </c>
      <c r="BQ101" s="48">
        <v>0</v>
      </c>
      <c r="BR101" s="49">
        <v>0</v>
      </c>
      <c r="BS101" s="48">
        <v>0</v>
      </c>
      <c r="BT101" s="49">
        <v>0</v>
      </c>
      <c r="BU101" s="107">
        <v>0</v>
      </c>
      <c r="BV101" s="64">
        <v>0</v>
      </c>
      <c r="BW101" s="64"/>
      <c r="BX101" s="64" t="s">
        <v>934</v>
      </c>
      <c r="BY101" s="64"/>
      <c r="BZ101" s="64" t="s">
        <v>1147</v>
      </c>
      <c r="CA101" s="64"/>
      <c r="CB101" s="64"/>
      <c r="CC101" s="64"/>
      <c r="CD101" s="64" t="s">
        <v>1278</v>
      </c>
      <c r="CE101" s="64"/>
      <c r="CF101" s="64"/>
      <c r="CG101" s="64"/>
      <c r="CH101" s="64"/>
      <c r="CI101" s="64"/>
      <c r="CJ101" s="64"/>
      <c r="CK101" s="136" t="s">
        <v>1354</v>
      </c>
      <c r="CL101" s="64"/>
      <c r="CM101" s="136" t="s">
        <v>691</v>
      </c>
      <c r="CN101" s="136" t="s">
        <v>1437</v>
      </c>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row>
    <row r="102" spans="1:128" ht="15">
      <c r="A102" s="62" t="s">
        <v>923</v>
      </c>
      <c r="B102" s="62" t="s">
        <v>931</v>
      </c>
      <c r="C102" s="78" t="s">
        <v>714</v>
      </c>
      <c r="D102" s="84">
        <v>5</v>
      </c>
      <c r="E102" s="85" t="s">
        <v>131</v>
      </c>
      <c r="F102" s="86">
        <v>16</v>
      </c>
      <c r="G102" s="78"/>
      <c r="H102" s="70"/>
      <c r="I102" s="87"/>
      <c r="J102" s="87"/>
      <c r="K102" s="34" t="s">
        <v>65</v>
      </c>
      <c r="L102" s="103">
        <v>102</v>
      </c>
      <c r="M102" s="103"/>
      <c r="N102" s="89"/>
      <c r="O102" s="64" t="s">
        <v>966</v>
      </c>
      <c r="P102" s="110">
        <v>45177.1862962963</v>
      </c>
      <c r="Q102" s="64" t="s">
        <v>1029</v>
      </c>
      <c r="R102" s="64"/>
      <c r="S102" s="64"/>
      <c r="T102" s="64"/>
      <c r="U102" s="110">
        <v>45177.1862962963</v>
      </c>
      <c r="V102" s="111" t="str">
        <f>HYPERLINK("https://twitter.com/jeremyl99313994/status/1700003093323386901")</f>
        <v>https://twitter.com/jeremyl99313994/status/1700003093323386901</v>
      </c>
      <c r="W102" s="64"/>
      <c r="X102" s="64"/>
      <c r="Y102" s="136" t="s">
        <v>1345</v>
      </c>
      <c r="Z102" s="64"/>
      <c r="AA102" s="104">
        <v>1</v>
      </c>
      <c r="AB102" s="105"/>
      <c r="AC102" s="106"/>
      <c r="AD102" s="105"/>
      <c r="AE102" s="106"/>
      <c r="AF102" s="105"/>
      <c r="AG102" s="106"/>
      <c r="AH102" s="48">
        <v>4</v>
      </c>
      <c r="AI102" s="49">
        <v>100</v>
      </c>
      <c r="AJ102" s="48">
        <v>4</v>
      </c>
      <c r="AK102" s="107"/>
      <c r="AL102" s="111" t="str">
        <f>HYPERLINK("https://pbs.twimg.com/profile_images/1223036536028925952/FSgIEXZc_normal.jpg")</f>
        <v>https://pbs.twimg.com/profile_images/1223036536028925952/FSgIEXZc_normal.jpg</v>
      </c>
      <c r="AM102" s="64"/>
      <c r="AN102" s="64">
        <v>0</v>
      </c>
      <c r="AO102" s="64"/>
      <c r="AP102" s="64"/>
      <c r="AQ102" s="64" t="s">
        <v>1154</v>
      </c>
      <c r="AR102" s="64"/>
      <c r="AS102" s="136" t="s">
        <v>691</v>
      </c>
      <c r="AT102" s="64"/>
      <c r="AU102" s="64">
        <v>0</v>
      </c>
      <c r="AV102" s="136" t="s">
        <v>691</v>
      </c>
      <c r="AW102" s="136" t="s">
        <v>1149</v>
      </c>
      <c r="AX102" s="64"/>
      <c r="AY102" s="136" t="s">
        <v>1356</v>
      </c>
      <c r="AZ102" s="64"/>
      <c r="BA102" s="64"/>
      <c r="BB102" s="64"/>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45177</v>
      </c>
      <c r="BN102" s="138" t="s">
        <v>1222</v>
      </c>
      <c r="BO102" s="48">
        <v>0</v>
      </c>
      <c r="BP102" s="49">
        <v>0</v>
      </c>
      <c r="BQ102" s="48">
        <v>0</v>
      </c>
      <c r="BR102" s="49">
        <v>0</v>
      </c>
      <c r="BS102" s="48">
        <v>0</v>
      </c>
      <c r="BT102" s="49">
        <v>0</v>
      </c>
      <c r="BU102" s="107">
        <v>1</v>
      </c>
      <c r="BV102" s="64">
        <v>0</v>
      </c>
      <c r="BW102" s="64">
        <v>2227</v>
      </c>
      <c r="BX102" s="64" t="s">
        <v>1118</v>
      </c>
      <c r="BY102" s="64"/>
      <c r="BZ102" s="64"/>
      <c r="CA102" s="64"/>
      <c r="CB102" s="64"/>
      <c r="CC102" s="64"/>
      <c r="CD102" s="64"/>
      <c r="CE102" s="64"/>
      <c r="CF102" s="64"/>
      <c r="CG102" s="64"/>
      <c r="CH102" s="64"/>
      <c r="CI102" s="64"/>
      <c r="CJ102" s="64"/>
      <c r="CK102" s="136" t="s">
        <v>1356</v>
      </c>
      <c r="CL102" s="136" t="s">
        <v>1417</v>
      </c>
      <c r="CM102" s="136" t="s">
        <v>1356</v>
      </c>
      <c r="CN102" s="136" t="s">
        <v>1437</v>
      </c>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row>
    <row r="103" spans="1:128" ht="15">
      <c r="A103" s="62" t="s">
        <v>923</v>
      </c>
      <c r="B103" s="62" t="s">
        <v>934</v>
      </c>
      <c r="C103" s="78" t="s">
        <v>714</v>
      </c>
      <c r="D103" s="84">
        <v>5</v>
      </c>
      <c r="E103" s="85" t="s">
        <v>131</v>
      </c>
      <c r="F103" s="86">
        <v>16</v>
      </c>
      <c r="G103" s="78"/>
      <c r="H103" s="70"/>
      <c r="I103" s="87"/>
      <c r="J103" s="87"/>
      <c r="K103" s="34" t="s">
        <v>65</v>
      </c>
      <c r="L103" s="103">
        <v>103</v>
      </c>
      <c r="M103" s="103"/>
      <c r="N103" s="89"/>
      <c r="O103" s="64" t="s">
        <v>966</v>
      </c>
      <c r="P103" s="110">
        <v>45181.46287037037</v>
      </c>
      <c r="Q103" s="64" t="s">
        <v>1030</v>
      </c>
      <c r="R103" s="64"/>
      <c r="S103" s="64"/>
      <c r="T103" s="64"/>
      <c r="U103" s="110">
        <v>45181.46287037037</v>
      </c>
      <c r="V103" s="111" t="str">
        <f>HYPERLINK("https://twitter.com/jeremyl99313994/status/1701552870439698704")</f>
        <v>https://twitter.com/jeremyl99313994/status/1701552870439698704</v>
      </c>
      <c r="W103" s="64"/>
      <c r="X103" s="64"/>
      <c r="Y103" s="136" t="s">
        <v>1346</v>
      </c>
      <c r="Z103" s="64"/>
      <c r="AA103" s="104">
        <v>1</v>
      </c>
      <c r="AB103" s="105"/>
      <c r="AC103" s="106"/>
      <c r="AD103" s="105"/>
      <c r="AE103" s="106"/>
      <c r="AF103" s="105"/>
      <c r="AG103" s="106"/>
      <c r="AH103" s="48">
        <v>4</v>
      </c>
      <c r="AI103" s="49">
        <v>100</v>
      </c>
      <c r="AJ103" s="48">
        <v>4</v>
      </c>
      <c r="AK103" s="107"/>
      <c r="AL103" s="111" t="str">
        <f>HYPERLINK("https://pbs.twimg.com/profile_images/1223036536028925952/FSgIEXZc_normal.jpg")</f>
        <v>https://pbs.twimg.com/profile_images/1223036536028925952/FSgIEXZc_normal.jpg</v>
      </c>
      <c r="AM103" s="64"/>
      <c r="AN103" s="64">
        <v>0</v>
      </c>
      <c r="AO103" s="64"/>
      <c r="AP103" s="64"/>
      <c r="AQ103" s="64" t="s">
        <v>1154</v>
      </c>
      <c r="AR103" s="64"/>
      <c r="AS103" s="136" t="s">
        <v>691</v>
      </c>
      <c r="AT103" s="64"/>
      <c r="AU103" s="64">
        <v>0</v>
      </c>
      <c r="AV103" s="136" t="s">
        <v>691</v>
      </c>
      <c r="AW103" s="136" t="s">
        <v>1149</v>
      </c>
      <c r="AX103" s="64"/>
      <c r="AY103" s="136" t="s">
        <v>1360</v>
      </c>
      <c r="AZ103" s="64"/>
      <c r="BA103" s="64"/>
      <c r="BB103" s="64"/>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1</v>
      </c>
      <c r="BM103" s="137">
        <v>45181</v>
      </c>
      <c r="BN103" s="138" t="s">
        <v>1223</v>
      </c>
      <c r="BO103" s="48">
        <v>0</v>
      </c>
      <c r="BP103" s="49">
        <v>0</v>
      </c>
      <c r="BQ103" s="48">
        <v>0</v>
      </c>
      <c r="BR103" s="49">
        <v>0</v>
      </c>
      <c r="BS103" s="48">
        <v>0</v>
      </c>
      <c r="BT103" s="49">
        <v>0</v>
      </c>
      <c r="BU103" s="107">
        <v>0</v>
      </c>
      <c r="BV103" s="64">
        <v>0</v>
      </c>
      <c r="BW103" s="64">
        <v>278</v>
      </c>
      <c r="BX103" s="64" t="s">
        <v>1119</v>
      </c>
      <c r="BY103" s="64"/>
      <c r="BZ103" s="64"/>
      <c r="CA103" s="64"/>
      <c r="CB103" s="64"/>
      <c r="CC103" s="64"/>
      <c r="CD103" s="64"/>
      <c r="CE103" s="64"/>
      <c r="CF103" s="64"/>
      <c r="CG103" s="64"/>
      <c r="CH103" s="64"/>
      <c r="CI103" s="64"/>
      <c r="CJ103" s="64"/>
      <c r="CK103" s="136" t="s">
        <v>1360</v>
      </c>
      <c r="CL103" s="136" t="s">
        <v>1418</v>
      </c>
      <c r="CM103" s="136" t="s">
        <v>1360</v>
      </c>
      <c r="CN103" s="136" t="s">
        <v>1437</v>
      </c>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row>
    <row r="104" spans="1:128" ht="15">
      <c r="A104" s="62" t="s">
        <v>930</v>
      </c>
      <c r="B104" s="62" t="s">
        <v>930</v>
      </c>
      <c r="C104" s="78" t="s">
        <v>714</v>
      </c>
      <c r="D104" s="84">
        <v>5</v>
      </c>
      <c r="E104" s="85" t="s">
        <v>131</v>
      </c>
      <c r="F104" s="86">
        <v>16</v>
      </c>
      <c r="G104" s="78"/>
      <c r="H104" s="70"/>
      <c r="I104" s="87"/>
      <c r="J104" s="87"/>
      <c r="K104" s="34" t="s">
        <v>65</v>
      </c>
      <c r="L104" s="103">
        <v>104</v>
      </c>
      <c r="M104" s="103"/>
      <c r="N104" s="89"/>
      <c r="O104" s="64" t="s">
        <v>183</v>
      </c>
      <c r="P104" s="110">
        <v>45181.62432870371</v>
      </c>
      <c r="Q104" s="64" t="s">
        <v>1039</v>
      </c>
      <c r="R104" s="64"/>
      <c r="S104" s="64"/>
      <c r="T104" s="64"/>
      <c r="U104" s="110">
        <v>45181.62432870371</v>
      </c>
      <c r="V104" s="111" t="str">
        <f>HYPERLINK("https://twitter.com/kieronfish/status/1701611380355539050")</f>
        <v>https://twitter.com/kieronfish/status/1701611380355539050</v>
      </c>
      <c r="W104" s="64"/>
      <c r="X104" s="64"/>
      <c r="Y104" s="136" t="s">
        <v>1355</v>
      </c>
      <c r="Z104" s="64"/>
      <c r="AA104" s="104">
        <v>1</v>
      </c>
      <c r="AB104" s="105"/>
      <c r="AC104" s="106"/>
      <c r="AD104" s="105"/>
      <c r="AE104" s="106"/>
      <c r="AF104" s="105"/>
      <c r="AG104" s="106"/>
      <c r="AH104" s="48">
        <v>6</v>
      </c>
      <c r="AI104" s="49">
        <v>75</v>
      </c>
      <c r="AJ104" s="48">
        <v>8</v>
      </c>
      <c r="AK104" s="107" t="s">
        <v>1129</v>
      </c>
      <c r="AL104" s="111" t="str">
        <f>HYPERLINK("https://pbs.twimg.com/ext_tw_video_thumb/1701611202005352448/pu/img/cBVLuEF44szBP0_Y.jpg")</f>
        <v>https://pbs.twimg.com/ext_tw_video_thumb/1701611202005352448/pu/img/cBVLuEF44szBP0_Y.jpg</v>
      </c>
      <c r="AM104" s="64"/>
      <c r="AN104" s="64">
        <v>28313</v>
      </c>
      <c r="AO104" s="64"/>
      <c r="AP104" s="64"/>
      <c r="AQ104" s="64" t="s">
        <v>1154</v>
      </c>
      <c r="AR104" s="64" t="b">
        <v>0</v>
      </c>
      <c r="AS104" s="136" t="s">
        <v>691</v>
      </c>
      <c r="AT104" s="64"/>
      <c r="AU104" s="64">
        <v>7261</v>
      </c>
      <c r="AV104" s="136" t="s">
        <v>691</v>
      </c>
      <c r="AW104" s="136" t="s">
        <v>1149</v>
      </c>
      <c r="AX104" s="64"/>
      <c r="AY104" s="136" t="s">
        <v>1355</v>
      </c>
      <c r="AZ104" s="64"/>
      <c r="BA104" s="64"/>
      <c r="BB104" s="64"/>
      <c r="BC104" s="64"/>
      <c r="BD104" s="64"/>
      <c r="BE104" s="64"/>
      <c r="BF104" s="64"/>
      <c r="BG104" s="64"/>
      <c r="BH104" s="64"/>
      <c r="BI104" s="64"/>
      <c r="BJ104" s="64"/>
      <c r="BK104" s="63" t="str">
        <f>REPLACE(INDEX(GroupVertices[Group],MATCH(Edges[[#This Row],[Vertex 1]],GroupVertices[Vertex],0)),1,1,"")</f>
        <v>3</v>
      </c>
      <c r="BL104" s="63" t="str">
        <f>REPLACE(INDEX(GroupVertices[Group],MATCH(Edges[[#This Row],[Vertex 2]],GroupVertices[Vertex],0)),1,1,"")</f>
        <v>3</v>
      </c>
      <c r="BM104" s="137">
        <v>45181</v>
      </c>
      <c r="BN104" s="138" t="s">
        <v>1232</v>
      </c>
      <c r="BO104" s="48">
        <v>0</v>
      </c>
      <c r="BP104" s="49">
        <v>0</v>
      </c>
      <c r="BQ104" s="48">
        <v>0</v>
      </c>
      <c r="BR104" s="49">
        <v>0</v>
      </c>
      <c r="BS104" s="48">
        <v>0</v>
      </c>
      <c r="BT104" s="49">
        <v>0</v>
      </c>
      <c r="BU104" s="107">
        <v>676</v>
      </c>
      <c r="BV104" s="64">
        <v>3572</v>
      </c>
      <c r="BW104" s="64">
        <v>4077020</v>
      </c>
      <c r="BX104" s="64"/>
      <c r="BY104" s="64"/>
      <c r="BZ104" s="64" t="s">
        <v>1144</v>
      </c>
      <c r="CA104" s="64"/>
      <c r="CB104" s="64"/>
      <c r="CC104" s="64"/>
      <c r="CD104" s="64" t="s">
        <v>1270</v>
      </c>
      <c r="CE104" s="64">
        <v>90091</v>
      </c>
      <c r="CF104" s="64"/>
      <c r="CG104" s="64"/>
      <c r="CH104" s="64">
        <v>842554</v>
      </c>
      <c r="CI104" s="64"/>
      <c r="CJ104" s="64"/>
      <c r="CK104" s="136" t="s">
        <v>1355</v>
      </c>
      <c r="CL104" s="64"/>
      <c r="CM104" s="136" t="s">
        <v>691</v>
      </c>
      <c r="CN104" s="136" t="s">
        <v>1438</v>
      </c>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row>
    <row r="105" spans="1:128" ht="15">
      <c r="A105" s="62" t="s">
        <v>931</v>
      </c>
      <c r="B105" s="62" t="s">
        <v>931</v>
      </c>
      <c r="C105" s="78" t="s">
        <v>714</v>
      </c>
      <c r="D105" s="84">
        <v>5</v>
      </c>
      <c r="E105" s="85" t="s">
        <v>131</v>
      </c>
      <c r="F105" s="86">
        <v>16</v>
      </c>
      <c r="G105" s="78"/>
      <c r="H105" s="70"/>
      <c r="I105" s="87"/>
      <c r="J105" s="87"/>
      <c r="K105" s="34" t="s">
        <v>65</v>
      </c>
      <c r="L105" s="103">
        <v>105</v>
      </c>
      <c r="M105" s="103"/>
      <c r="N105" s="89"/>
      <c r="O105" s="64" t="s">
        <v>183</v>
      </c>
      <c r="P105" s="110">
        <v>45177.04283564815</v>
      </c>
      <c r="Q105" s="64" t="s">
        <v>1040</v>
      </c>
      <c r="R105" s="111" t="str">
        <f>HYPERLINK("https://huggingface.co/papers/2309.03241")</f>
        <v>https://huggingface.co/papers/2309.03241</v>
      </c>
      <c r="S105" s="64" t="s">
        <v>1095</v>
      </c>
      <c r="T105" s="64"/>
      <c r="U105" s="110">
        <v>45177.04283564815</v>
      </c>
      <c r="V105" s="111" t="str">
        <f>HYPERLINK("https://twitter.com/_akhaliq/status/1699951105927512399")</f>
        <v>https://twitter.com/_akhaliq/status/1699951105927512399</v>
      </c>
      <c r="W105" s="64"/>
      <c r="X105" s="64"/>
      <c r="Y105" s="136" t="s">
        <v>1356</v>
      </c>
      <c r="Z105" s="64"/>
      <c r="AA105" s="104">
        <v>1</v>
      </c>
      <c r="AB105" s="105"/>
      <c r="AC105" s="106"/>
      <c r="AD105" s="105"/>
      <c r="AE105" s="106"/>
      <c r="AF105" s="105"/>
      <c r="AG105" s="106"/>
      <c r="AH105" s="48">
        <v>26</v>
      </c>
      <c r="AI105" s="49">
        <v>76.47058823529412</v>
      </c>
      <c r="AJ105" s="48">
        <v>34</v>
      </c>
      <c r="AK105" s="107" t="s">
        <v>1138</v>
      </c>
      <c r="AL105" s="111" t="str">
        <f>HYPERLINK("https://pbs.twimg.com/media/F5dwfAFWkAAHq_C.jpg")</f>
        <v>https://pbs.twimg.com/media/F5dwfAFWkAAHq_C.jpg</v>
      </c>
      <c r="AM105" s="64"/>
      <c r="AN105" s="64">
        <v>802</v>
      </c>
      <c r="AO105" s="64"/>
      <c r="AP105" s="64"/>
      <c r="AQ105" s="64" t="s">
        <v>1154</v>
      </c>
      <c r="AR105" s="64" t="b">
        <v>0</v>
      </c>
      <c r="AS105" s="136" t="s">
        <v>691</v>
      </c>
      <c r="AT105" s="64"/>
      <c r="AU105" s="64">
        <v>184</v>
      </c>
      <c r="AV105" s="136" t="s">
        <v>691</v>
      </c>
      <c r="AW105" s="136" t="s">
        <v>1148</v>
      </c>
      <c r="AX105" s="64"/>
      <c r="AY105" s="136" t="s">
        <v>1356</v>
      </c>
      <c r="AZ105" s="64"/>
      <c r="BA105" s="64"/>
      <c r="BB105" s="64"/>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37">
        <v>45177</v>
      </c>
      <c r="BN105" s="138" t="s">
        <v>1233</v>
      </c>
      <c r="BO105" s="48">
        <v>0</v>
      </c>
      <c r="BP105" s="49">
        <v>0</v>
      </c>
      <c r="BQ105" s="48">
        <v>0</v>
      </c>
      <c r="BR105" s="49">
        <v>0</v>
      </c>
      <c r="BS105" s="48">
        <v>0</v>
      </c>
      <c r="BT105" s="49">
        <v>0</v>
      </c>
      <c r="BU105" s="107">
        <v>28</v>
      </c>
      <c r="BV105" s="64">
        <v>41</v>
      </c>
      <c r="BW105" s="64">
        <v>296926</v>
      </c>
      <c r="BX105" s="64"/>
      <c r="BY105" s="64"/>
      <c r="BZ105" s="64" t="s">
        <v>1142</v>
      </c>
      <c r="CA105" s="64"/>
      <c r="CB105" s="64"/>
      <c r="CC105" s="64"/>
      <c r="CD105" s="64" t="s">
        <v>1279</v>
      </c>
      <c r="CE105" s="64"/>
      <c r="CF105" s="64"/>
      <c r="CG105" s="64"/>
      <c r="CH105" s="64"/>
      <c r="CI105" s="64"/>
      <c r="CJ105" s="64"/>
      <c r="CK105" s="136" t="s">
        <v>1356</v>
      </c>
      <c r="CL105" s="64"/>
      <c r="CM105" s="136" t="s">
        <v>691</v>
      </c>
      <c r="CN105" s="64">
        <v>2465283662</v>
      </c>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row>
    <row r="106" spans="1:128" ht="15">
      <c r="A106" s="62" t="s">
        <v>932</v>
      </c>
      <c r="B106" s="62" t="s">
        <v>932</v>
      </c>
      <c r="C106" s="78" t="s">
        <v>714</v>
      </c>
      <c r="D106" s="84">
        <v>5</v>
      </c>
      <c r="E106" s="85" t="s">
        <v>131</v>
      </c>
      <c r="F106" s="86">
        <v>16</v>
      </c>
      <c r="G106" s="78"/>
      <c r="H106" s="70"/>
      <c r="I106" s="87"/>
      <c r="J106" s="87"/>
      <c r="K106" s="34" t="s">
        <v>65</v>
      </c>
      <c r="L106" s="103">
        <v>106</v>
      </c>
      <c r="M106" s="103"/>
      <c r="N106" s="89"/>
      <c r="O106" s="64" t="s">
        <v>183</v>
      </c>
      <c r="P106" s="110">
        <v>45181.58857638889</v>
      </c>
      <c r="Q106" s="64" t="s">
        <v>1041</v>
      </c>
      <c r="R106" s="64"/>
      <c r="S106" s="64"/>
      <c r="T106" s="64"/>
      <c r="U106" s="110">
        <v>45181.58857638889</v>
      </c>
      <c r="V106" s="111" t="str">
        <f>HYPERLINK("https://twitter.com/instigator_h/status/1701598423596879977")</f>
        <v>https://twitter.com/instigator_h/status/1701598423596879977</v>
      </c>
      <c r="W106" s="64"/>
      <c r="X106" s="64"/>
      <c r="Y106" s="136" t="s">
        <v>1357</v>
      </c>
      <c r="Z106" s="64"/>
      <c r="AA106" s="104">
        <v>1</v>
      </c>
      <c r="AB106" s="105"/>
      <c r="AC106" s="106"/>
      <c r="AD106" s="105"/>
      <c r="AE106" s="106"/>
      <c r="AF106" s="105"/>
      <c r="AG106" s="106"/>
      <c r="AH106" s="48">
        <v>3</v>
      </c>
      <c r="AI106" s="49">
        <v>42.857142857142854</v>
      </c>
      <c r="AJ106" s="48">
        <v>7</v>
      </c>
      <c r="AK106" s="107" t="s">
        <v>1139</v>
      </c>
      <c r="AL106" s="111" t="str">
        <f>HYPERLINK("https://pbs.twimg.com/ext_tw_video_thumb/1701597764197699584/pu/img/6aFuGbTJU-ZLRVWJ.jpg")</f>
        <v>https://pbs.twimg.com/ext_tw_video_thumb/1701597764197699584/pu/img/6aFuGbTJU-ZLRVWJ.jpg</v>
      </c>
      <c r="AM106" s="64"/>
      <c r="AN106" s="64">
        <v>1896</v>
      </c>
      <c r="AO106" s="64"/>
      <c r="AP106" s="64"/>
      <c r="AQ106" s="64" t="s">
        <v>1154</v>
      </c>
      <c r="AR106" s="64" t="b">
        <v>0</v>
      </c>
      <c r="AS106" s="136" t="s">
        <v>691</v>
      </c>
      <c r="AT106" s="64"/>
      <c r="AU106" s="64">
        <v>420</v>
      </c>
      <c r="AV106" s="136" t="s">
        <v>691</v>
      </c>
      <c r="AW106" s="136" t="s">
        <v>1149</v>
      </c>
      <c r="AX106" s="64"/>
      <c r="AY106" s="136" t="s">
        <v>1357</v>
      </c>
      <c r="AZ106" s="64"/>
      <c r="BA106" s="64"/>
      <c r="BB106" s="64"/>
      <c r="BC106" s="64"/>
      <c r="BD106" s="64"/>
      <c r="BE106" s="64"/>
      <c r="BF106" s="64"/>
      <c r="BG106" s="64"/>
      <c r="BH106" s="64"/>
      <c r="BI106" s="64"/>
      <c r="BJ106" s="64"/>
      <c r="BK106" s="63" t="str">
        <f>REPLACE(INDEX(GroupVertices[Group],MATCH(Edges[[#This Row],[Vertex 1]],GroupVertices[Vertex],0)),1,1,"")</f>
        <v>3</v>
      </c>
      <c r="BL106" s="63" t="str">
        <f>REPLACE(INDEX(GroupVertices[Group],MATCH(Edges[[#This Row],[Vertex 2]],GroupVertices[Vertex],0)),1,1,"")</f>
        <v>3</v>
      </c>
      <c r="BM106" s="137">
        <v>45181</v>
      </c>
      <c r="BN106" s="138" t="s">
        <v>1234</v>
      </c>
      <c r="BO106" s="48">
        <v>0</v>
      </c>
      <c r="BP106" s="49">
        <v>0</v>
      </c>
      <c r="BQ106" s="48">
        <v>0</v>
      </c>
      <c r="BR106" s="49">
        <v>0</v>
      </c>
      <c r="BS106" s="48">
        <v>0</v>
      </c>
      <c r="BT106" s="49">
        <v>0</v>
      </c>
      <c r="BU106" s="107">
        <v>134</v>
      </c>
      <c r="BV106" s="64">
        <v>374</v>
      </c>
      <c r="BW106" s="64">
        <v>1999155</v>
      </c>
      <c r="BX106" s="64"/>
      <c r="BY106" s="64"/>
      <c r="BZ106" s="64" t="s">
        <v>1144</v>
      </c>
      <c r="CA106" s="64"/>
      <c r="CB106" s="64"/>
      <c r="CC106" s="64"/>
      <c r="CD106" s="64" t="s">
        <v>1280</v>
      </c>
      <c r="CE106" s="64">
        <v>15300</v>
      </c>
      <c r="CF106" s="64"/>
      <c r="CG106" s="64"/>
      <c r="CH106" s="64">
        <v>358998</v>
      </c>
      <c r="CI106" s="64"/>
      <c r="CJ106" s="64"/>
      <c r="CK106" s="136" t="s">
        <v>1357</v>
      </c>
      <c r="CL106" s="64"/>
      <c r="CM106" s="136" t="s">
        <v>691</v>
      </c>
      <c r="CN106" s="136" t="s">
        <v>1439</v>
      </c>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row>
    <row r="107" spans="1:128" ht="15">
      <c r="A107" s="62" t="s">
        <v>933</v>
      </c>
      <c r="B107" s="62" t="s">
        <v>932</v>
      </c>
      <c r="C107" s="78" t="s">
        <v>714</v>
      </c>
      <c r="D107" s="84">
        <v>5</v>
      </c>
      <c r="E107" s="85" t="s">
        <v>131</v>
      </c>
      <c r="F107" s="86">
        <v>16</v>
      </c>
      <c r="G107" s="78"/>
      <c r="H107" s="70"/>
      <c r="I107" s="87"/>
      <c r="J107" s="87"/>
      <c r="K107" s="34" t="s">
        <v>65</v>
      </c>
      <c r="L107" s="103">
        <v>107</v>
      </c>
      <c r="M107" s="103"/>
      <c r="N107" s="89"/>
      <c r="O107" s="64" t="s">
        <v>969</v>
      </c>
      <c r="P107" s="110">
        <v>45181.62777777778</v>
      </c>
      <c r="Q107" s="64" t="s">
        <v>1042</v>
      </c>
      <c r="R107" s="64"/>
      <c r="S107" s="64"/>
      <c r="T107" s="64"/>
      <c r="U107" s="110">
        <v>45181.62777777778</v>
      </c>
      <c r="V107" s="111" t="str">
        <f>HYPERLINK("https://twitter.com/mimitheblogger/status/1701612631587725513")</f>
        <v>https://twitter.com/mimitheblogger/status/1701612631587725513</v>
      </c>
      <c r="W107" s="64"/>
      <c r="X107" s="64"/>
      <c r="Y107" s="136" t="s">
        <v>1358</v>
      </c>
      <c r="Z107" s="64"/>
      <c r="AA107" s="104">
        <v>1</v>
      </c>
      <c r="AB107" s="105"/>
      <c r="AC107" s="106"/>
      <c r="AD107" s="105"/>
      <c r="AE107" s="106"/>
      <c r="AF107" s="105"/>
      <c r="AG107" s="106"/>
      <c r="AH107" s="48">
        <v>2</v>
      </c>
      <c r="AI107" s="49">
        <v>66.66666666666667</v>
      </c>
      <c r="AJ107" s="48">
        <v>3</v>
      </c>
      <c r="AK107" s="107"/>
      <c r="AL107" s="111" t="str">
        <f>HYPERLINK("https://pbs.twimg.com/profile_images/1686366753973219328/zmehMSmA_normal.jpg")</f>
        <v>https://pbs.twimg.com/profile_images/1686366753973219328/zmehMSmA_normal.jpg</v>
      </c>
      <c r="AM107" s="64"/>
      <c r="AN107" s="64">
        <v>7491</v>
      </c>
      <c r="AO107" s="64"/>
      <c r="AP107" s="64"/>
      <c r="AQ107" s="64" t="s">
        <v>1154</v>
      </c>
      <c r="AR107" s="64"/>
      <c r="AS107" s="136" t="s">
        <v>1357</v>
      </c>
      <c r="AT107" s="64"/>
      <c r="AU107" s="64">
        <v>834</v>
      </c>
      <c r="AV107" s="136" t="s">
        <v>691</v>
      </c>
      <c r="AW107" s="136" t="s">
        <v>1149</v>
      </c>
      <c r="AX107" s="64"/>
      <c r="AY107" s="136" t="s">
        <v>1357</v>
      </c>
      <c r="AZ107" s="64"/>
      <c r="BA107" s="64"/>
      <c r="BB107" s="64"/>
      <c r="BC107" s="64"/>
      <c r="BD107" s="64"/>
      <c r="BE107" s="64"/>
      <c r="BF107" s="64"/>
      <c r="BG107" s="64"/>
      <c r="BH107" s="64"/>
      <c r="BI107" s="64"/>
      <c r="BJ107" s="64"/>
      <c r="BK107" s="63" t="str">
        <f>REPLACE(INDEX(GroupVertices[Group],MATCH(Edges[[#This Row],[Vertex 1]],GroupVertices[Vertex],0)),1,1,"")</f>
        <v>3</v>
      </c>
      <c r="BL107" s="63" t="str">
        <f>REPLACE(INDEX(GroupVertices[Group],MATCH(Edges[[#This Row],[Vertex 2]],GroupVertices[Vertex],0)),1,1,"")</f>
        <v>3</v>
      </c>
      <c r="BM107" s="137">
        <v>45181</v>
      </c>
      <c r="BN107" s="138" t="s">
        <v>1235</v>
      </c>
      <c r="BO107" s="48">
        <v>0</v>
      </c>
      <c r="BP107" s="49">
        <v>0</v>
      </c>
      <c r="BQ107" s="48">
        <v>0</v>
      </c>
      <c r="BR107" s="49">
        <v>0</v>
      </c>
      <c r="BS107" s="48">
        <v>0</v>
      </c>
      <c r="BT107" s="49">
        <v>0</v>
      </c>
      <c r="BU107" s="107">
        <v>44</v>
      </c>
      <c r="BV107" s="64">
        <v>49</v>
      </c>
      <c r="BW107" s="64">
        <v>811608</v>
      </c>
      <c r="BX107" s="64"/>
      <c r="BY107" s="64"/>
      <c r="BZ107" s="64"/>
      <c r="CA107" s="64"/>
      <c r="CB107" s="64"/>
      <c r="CC107" s="64"/>
      <c r="CD107" s="64"/>
      <c r="CE107" s="64"/>
      <c r="CF107" s="64"/>
      <c r="CG107" s="64"/>
      <c r="CH107" s="64"/>
      <c r="CI107" s="64"/>
      <c r="CJ107" s="64"/>
      <c r="CK107" s="136" t="s">
        <v>1358</v>
      </c>
      <c r="CL107" s="64"/>
      <c r="CM107" s="136" t="s">
        <v>691</v>
      </c>
      <c r="CN107" s="136" t="s">
        <v>1440</v>
      </c>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row>
    <row r="108" spans="1:128" ht="15">
      <c r="A108" s="62" t="s">
        <v>933</v>
      </c>
      <c r="B108" s="62" t="s">
        <v>933</v>
      </c>
      <c r="C108" s="78" t="s">
        <v>714</v>
      </c>
      <c r="D108" s="84">
        <v>5</v>
      </c>
      <c r="E108" s="85" t="s">
        <v>131</v>
      </c>
      <c r="F108" s="86">
        <v>16</v>
      </c>
      <c r="G108" s="78"/>
      <c r="H108" s="70"/>
      <c r="I108" s="87"/>
      <c r="J108" s="87"/>
      <c r="K108" s="34" t="s">
        <v>65</v>
      </c>
      <c r="L108" s="103">
        <v>108</v>
      </c>
      <c r="M108" s="103"/>
      <c r="N108" s="89"/>
      <c r="O108" s="64" t="s">
        <v>183</v>
      </c>
      <c r="P108" s="110">
        <v>45180.473969907405</v>
      </c>
      <c r="Q108" s="64" t="s">
        <v>1043</v>
      </c>
      <c r="R108" s="64"/>
      <c r="S108" s="64"/>
      <c r="T108" s="64"/>
      <c r="U108" s="110">
        <v>45180.473969907405</v>
      </c>
      <c r="V108" s="111" t="str">
        <f>HYPERLINK("https://twitter.com/mimitheblogger/status/1701194505582411961")</f>
        <v>https://twitter.com/mimitheblogger/status/1701194505582411961</v>
      </c>
      <c r="W108" s="64"/>
      <c r="X108" s="64"/>
      <c r="Y108" s="136" t="s">
        <v>1359</v>
      </c>
      <c r="Z108" s="64"/>
      <c r="AA108" s="104">
        <v>1</v>
      </c>
      <c r="AB108" s="105"/>
      <c r="AC108" s="106"/>
      <c r="AD108" s="105"/>
      <c r="AE108" s="106"/>
      <c r="AF108" s="105"/>
      <c r="AG108" s="106"/>
      <c r="AH108" s="48">
        <v>9</v>
      </c>
      <c r="AI108" s="49">
        <v>81.81818181818181</v>
      </c>
      <c r="AJ108" s="48">
        <v>11</v>
      </c>
      <c r="AK108" s="107"/>
      <c r="AL108" s="111" t="str">
        <f>HYPERLINK("https://pbs.twimg.com/profile_images/1686366753973219328/zmehMSmA_normal.jpg")</f>
        <v>https://pbs.twimg.com/profile_images/1686366753973219328/zmehMSmA_normal.jpg</v>
      </c>
      <c r="AM108" s="64"/>
      <c r="AN108" s="64">
        <v>65</v>
      </c>
      <c r="AO108" s="64"/>
      <c r="AP108" s="64"/>
      <c r="AQ108" s="64" t="s">
        <v>1154</v>
      </c>
      <c r="AR108" s="64"/>
      <c r="AS108" s="136" t="s">
        <v>691</v>
      </c>
      <c r="AT108" s="64"/>
      <c r="AU108" s="64">
        <v>5</v>
      </c>
      <c r="AV108" s="136" t="s">
        <v>691</v>
      </c>
      <c r="AW108" s="136" t="s">
        <v>1149</v>
      </c>
      <c r="AX108" s="64"/>
      <c r="AY108" s="136" t="s">
        <v>1359</v>
      </c>
      <c r="AZ108" s="64"/>
      <c r="BA108" s="64"/>
      <c r="BB108" s="64"/>
      <c r="BC108" s="64"/>
      <c r="BD108" s="64"/>
      <c r="BE108" s="64"/>
      <c r="BF108" s="64"/>
      <c r="BG108" s="64"/>
      <c r="BH108" s="64"/>
      <c r="BI108" s="64"/>
      <c r="BJ108" s="64"/>
      <c r="BK108" s="63" t="str">
        <f>REPLACE(INDEX(GroupVertices[Group],MATCH(Edges[[#This Row],[Vertex 1]],GroupVertices[Vertex],0)),1,1,"")</f>
        <v>3</v>
      </c>
      <c r="BL108" s="63" t="str">
        <f>REPLACE(INDEX(GroupVertices[Group],MATCH(Edges[[#This Row],[Vertex 2]],GroupVertices[Vertex],0)),1,1,"")</f>
        <v>3</v>
      </c>
      <c r="BM108" s="137">
        <v>45180</v>
      </c>
      <c r="BN108" s="138" t="s">
        <v>1236</v>
      </c>
      <c r="BO108" s="48">
        <v>0</v>
      </c>
      <c r="BP108" s="49">
        <v>0</v>
      </c>
      <c r="BQ108" s="48">
        <v>0</v>
      </c>
      <c r="BR108" s="49">
        <v>0</v>
      </c>
      <c r="BS108" s="48">
        <v>0</v>
      </c>
      <c r="BT108" s="49">
        <v>0</v>
      </c>
      <c r="BU108" s="107">
        <v>1</v>
      </c>
      <c r="BV108" s="64">
        <v>0</v>
      </c>
      <c r="BW108" s="64">
        <v>15196</v>
      </c>
      <c r="BX108" s="64"/>
      <c r="BY108" s="64"/>
      <c r="BZ108" s="64"/>
      <c r="CA108" s="64"/>
      <c r="CB108" s="64"/>
      <c r="CC108" s="64"/>
      <c r="CD108" s="64"/>
      <c r="CE108" s="64"/>
      <c r="CF108" s="64"/>
      <c r="CG108" s="64"/>
      <c r="CH108" s="64"/>
      <c r="CI108" s="64"/>
      <c r="CJ108" s="64"/>
      <c r="CK108" s="136" t="s">
        <v>1359</v>
      </c>
      <c r="CL108" s="64"/>
      <c r="CM108" s="136" t="s">
        <v>691</v>
      </c>
      <c r="CN108" s="136" t="s">
        <v>1440</v>
      </c>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row>
    <row r="109" spans="1:128" ht="15">
      <c r="A109" s="62" t="s">
        <v>934</v>
      </c>
      <c r="B109" s="62" t="s">
        <v>935</v>
      </c>
      <c r="C109" s="78" t="s">
        <v>714</v>
      </c>
      <c r="D109" s="84">
        <v>5</v>
      </c>
      <c r="E109" s="85" t="s">
        <v>131</v>
      </c>
      <c r="F109" s="86">
        <v>16</v>
      </c>
      <c r="G109" s="78"/>
      <c r="H109" s="70"/>
      <c r="I109" s="87"/>
      <c r="J109" s="87"/>
      <c r="K109" s="34" t="s">
        <v>66</v>
      </c>
      <c r="L109" s="103">
        <v>109</v>
      </c>
      <c r="M109" s="103"/>
      <c r="N109" s="89"/>
      <c r="O109" s="64" t="s">
        <v>969</v>
      </c>
      <c r="P109" s="110">
        <v>45181.21418981482</v>
      </c>
      <c r="Q109" s="64" t="s">
        <v>1044</v>
      </c>
      <c r="R109" s="111" t="str">
        <f>HYPERLINK("https://plantegg.github.io/2017/01/01/top_linux_commands/")</f>
        <v>https://plantegg.github.io/2017/01/01/top_linux_commands/</v>
      </c>
      <c r="S109" s="64" t="s">
        <v>1096</v>
      </c>
      <c r="T109" s="64"/>
      <c r="U109" s="110">
        <v>45181.21418981482</v>
      </c>
      <c r="V109" s="111" t="str">
        <f>HYPERLINK("https://twitter.com/plantegg/status/1701462752257343943")</f>
        <v>https://twitter.com/plantegg/status/1701462752257343943</v>
      </c>
      <c r="W109" s="64"/>
      <c r="X109" s="64"/>
      <c r="Y109" s="136" t="s">
        <v>1360</v>
      </c>
      <c r="Z109" s="64"/>
      <c r="AA109" s="104">
        <v>1</v>
      </c>
      <c r="AB109" s="105"/>
      <c r="AC109" s="106"/>
      <c r="AD109" s="105"/>
      <c r="AE109" s="106"/>
      <c r="AF109" s="105"/>
      <c r="AG109" s="106"/>
      <c r="AH109" s="48">
        <v>3</v>
      </c>
      <c r="AI109" s="49">
        <v>100</v>
      </c>
      <c r="AJ109" s="48">
        <v>3</v>
      </c>
      <c r="AK109" s="107" t="s">
        <v>1137</v>
      </c>
      <c r="AL109" s="111" t="str">
        <f>HYPERLINK("https://pbs.twimg.com/media/F5zPEdWakAA3C9C.jpg")</f>
        <v>https://pbs.twimg.com/media/F5zPEdWakAA3C9C.jpg</v>
      </c>
      <c r="AM109" s="64"/>
      <c r="AN109" s="64">
        <v>211</v>
      </c>
      <c r="AO109" s="64"/>
      <c r="AP109" s="64"/>
      <c r="AQ109" s="64" t="s">
        <v>1155</v>
      </c>
      <c r="AR109" s="64" t="b">
        <v>0</v>
      </c>
      <c r="AS109" s="136" t="s">
        <v>1361</v>
      </c>
      <c r="AT109" s="64"/>
      <c r="AU109" s="64">
        <v>46</v>
      </c>
      <c r="AV109" s="136" t="s">
        <v>691</v>
      </c>
      <c r="AW109" s="136" t="s">
        <v>1148</v>
      </c>
      <c r="AX109" s="64"/>
      <c r="AY109" s="136" t="s">
        <v>1361</v>
      </c>
      <c r="AZ109" s="64"/>
      <c r="BA109" s="64"/>
      <c r="BB109" s="64"/>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37">
        <v>45181</v>
      </c>
      <c r="BN109" s="138" t="s">
        <v>1237</v>
      </c>
      <c r="BO109" s="48">
        <v>0</v>
      </c>
      <c r="BP109" s="49">
        <v>0</v>
      </c>
      <c r="BQ109" s="48">
        <v>0</v>
      </c>
      <c r="BR109" s="49">
        <v>0</v>
      </c>
      <c r="BS109" s="48">
        <v>0</v>
      </c>
      <c r="BT109" s="49">
        <v>0</v>
      </c>
      <c r="BU109" s="107">
        <v>4</v>
      </c>
      <c r="BV109" s="64">
        <v>3</v>
      </c>
      <c r="BW109" s="64">
        <v>41193</v>
      </c>
      <c r="BX109" s="64"/>
      <c r="BY109" s="64"/>
      <c r="BZ109" s="64" t="s">
        <v>1147</v>
      </c>
      <c r="CA109" s="64"/>
      <c r="CB109" s="64"/>
      <c r="CC109" s="64"/>
      <c r="CD109" s="64" t="s">
        <v>1278</v>
      </c>
      <c r="CE109" s="64"/>
      <c r="CF109" s="64"/>
      <c r="CG109" s="64"/>
      <c r="CH109" s="64"/>
      <c r="CI109" s="64"/>
      <c r="CJ109" s="64"/>
      <c r="CK109" s="136" t="s">
        <v>1360</v>
      </c>
      <c r="CL109" s="64"/>
      <c r="CM109" s="136" t="s">
        <v>691</v>
      </c>
      <c r="CN109" s="64">
        <v>39716430</v>
      </c>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row>
    <row r="110" spans="1:128" ht="15">
      <c r="A110" s="62" t="s">
        <v>935</v>
      </c>
      <c r="B110" s="62" t="s">
        <v>934</v>
      </c>
      <c r="C110" s="78" t="s">
        <v>714</v>
      </c>
      <c r="D110" s="84">
        <v>5</v>
      </c>
      <c r="E110" s="85" t="s">
        <v>131</v>
      </c>
      <c r="F110" s="86">
        <v>16</v>
      </c>
      <c r="G110" s="78"/>
      <c r="H110" s="70"/>
      <c r="I110" s="87"/>
      <c r="J110" s="87"/>
      <c r="K110" s="34" t="s">
        <v>66</v>
      </c>
      <c r="L110" s="103">
        <v>110</v>
      </c>
      <c r="M110" s="103"/>
      <c r="N110" s="89"/>
      <c r="O110" s="64" t="s">
        <v>966</v>
      </c>
      <c r="P110" s="110">
        <v>45181.200578703705</v>
      </c>
      <c r="Q110" s="64" t="s">
        <v>1045</v>
      </c>
      <c r="R110" s="64"/>
      <c r="S110" s="64"/>
      <c r="T110" s="64"/>
      <c r="U110" s="110">
        <v>45181.200578703705</v>
      </c>
      <c r="V110" s="111" t="str">
        <f>HYPERLINK("https://twitter.com/csyangchsh/status/1701457822033268958")</f>
        <v>https://twitter.com/csyangchsh/status/1701457822033268958</v>
      </c>
      <c r="W110" s="64"/>
      <c r="X110" s="64"/>
      <c r="Y110" s="136" t="s">
        <v>1361</v>
      </c>
      <c r="Z110" s="64"/>
      <c r="AA110" s="104">
        <v>1</v>
      </c>
      <c r="AB110" s="105"/>
      <c r="AC110" s="106"/>
      <c r="AD110" s="105"/>
      <c r="AE110" s="106"/>
      <c r="AF110" s="105"/>
      <c r="AG110" s="106"/>
      <c r="AH110" s="48">
        <v>5</v>
      </c>
      <c r="AI110" s="49">
        <v>100</v>
      </c>
      <c r="AJ110" s="48">
        <v>5</v>
      </c>
      <c r="AK110" s="107"/>
      <c r="AL110" s="111" t="str">
        <f>HYPERLINK("https://pbs.twimg.com/profile_images/925687120244723712/gT7H83cM_normal.jpg")</f>
        <v>https://pbs.twimg.com/profile_images/925687120244723712/gT7H83cM_normal.jpg</v>
      </c>
      <c r="AM110" s="64"/>
      <c r="AN110" s="64">
        <v>0</v>
      </c>
      <c r="AO110" s="64"/>
      <c r="AP110" s="64"/>
      <c r="AQ110" s="64" t="s">
        <v>1155</v>
      </c>
      <c r="AR110" s="64"/>
      <c r="AS110" s="136" t="s">
        <v>691</v>
      </c>
      <c r="AT110" s="64"/>
      <c r="AU110" s="64">
        <v>0</v>
      </c>
      <c r="AV110" s="136" t="s">
        <v>691</v>
      </c>
      <c r="AW110" s="136" t="s">
        <v>1148</v>
      </c>
      <c r="AX110" s="64"/>
      <c r="AY110" s="136" t="s">
        <v>1422</v>
      </c>
      <c r="AZ110" s="64"/>
      <c r="BA110" s="64"/>
      <c r="BB110" s="64"/>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37">
        <v>45181</v>
      </c>
      <c r="BN110" s="138" t="s">
        <v>1238</v>
      </c>
      <c r="BO110" s="48">
        <v>0</v>
      </c>
      <c r="BP110" s="49">
        <v>0</v>
      </c>
      <c r="BQ110" s="48">
        <v>0</v>
      </c>
      <c r="BR110" s="49">
        <v>0</v>
      </c>
      <c r="BS110" s="48">
        <v>0</v>
      </c>
      <c r="BT110" s="49">
        <v>0</v>
      </c>
      <c r="BU110" s="107">
        <v>0</v>
      </c>
      <c r="BV110" s="64">
        <v>1</v>
      </c>
      <c r="BW110" s="64">
        <v>41479</v>
      </c>
      <c r="BX110" s="64" t="s">
        <v>934</v>
      </c>
      <c r="BY110" s="64"/>
      <c r="BZ110" s="64"/>
      <c r="CA110" s="64"/>
      <c r="CB110" s="64"/>
      <c r="CC110" s="64"/>
      <c r="CD110" s="64"/>
      <c r="CE110" s="64"/>
      <c r="CF110" s="64"/>
      <c r="CG110" s="64"/>
      <c r="CH110" s="64"/>
      <c r="CI110" s="64"/>
      <c r="CJ110" s="64"/>
      <c r="CK110" s="136" t="s">
        <v>1398</v>
      </c>
      <c r="CL110" s="136" t="s">
        <v>1418</v>
      </c>
      <c r="CM110" s="136" t="s">
        <v>1422</v>
      </c>
      <c r="CN110" s="64">
        <v>227588754</v>
      </c>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row>
    <row r="111" spans="1:128" ht="15">
      <c r="A111" s="62" t="s">
        <v>936</v>
      </c>
      <c r="B111" s="62" t="s">
        <v>904</v>
      </c>
      <c r="C111" s="78" t="s">
        <v>714</v>
      </c>
      <c r="D111" s="84">
        <v>5</v>
      </c>
      <c r="E111" s="85" t="s">
        <v>131</v>
      </c>
      <c r="F111" s="86">
        <v>16</v>
      </c>
      <c r="G111" s="78"/>
      <c r="H111" s="70"/>
      <c r="I111" s="87"/>
      <c r="J111" s="87"/>
      <c r="K111" s="34" t="s">
        <v>65</v>
      </c>
      <c r="L111" s="103">
        <v>111</v>
      </c>
      <c r="M111" s="103"/>
      <c r="N111" s="89"/>
      <c r="O111" s="64" t="s">
        <v>965</v>
      </c>
      <c r="P111" s="110">
        <v>45181.50915509259</v>
      </c>
      <c r="Q111" s="64" t="s">
        <v>1046</v>
      </c>
      <c r="R111" s="64"/>
      <c r="S111" s="64"/>
      <c r="T111" s="64"/>
      <c r="U111" s="110">
        <v>45181.50915509259</v>
      </c>
      <c r="V111" s="111" t="str">
        <f>HYPERLINK("https://twitter.com/jeremyl51357386/status/1701569642844574200")</f>
        <v>https://twitter.com/jeremyl51357386/status/1701569642844574200</v>
      </c>
      <c r="W111" s="64"/>
      <c r="X111" s="64"/>
      <c r="Y111" s="136" t="s">
        <v>1362</v>
      </c>
      <c r="Z111" s="64"/>
      <c r="AA111" s="104">
        <v>1</v>
      </c>
      <c r="AB111" s="105"/>
      <c r="AC111" s="106"/>
      <c r="AD111" s="105"/>
      <c r="AE111" s="106"/>
      <c r="AF111" s="105"/>
      <c r="AG111" s="106"/>
      <c r="AH111" s="48">
        <v>12</v>
      </c>
      <c r="AI111" s="49">
        <v>63.1578947368421</v>
      </c>
      <c r="AJ111" s="48">
        <v>19</v>
      </c>
      <c r="AK111" s="107"/>
      <c r="AL111" s="111" t="str">
        <f>HYPERLINK("https://pbs.twimg.com/profile_images/1698702382836641792/tdhTCKDs_normal.jpg")</f>
        <v>https://pbs.twimg.com/profile_images/1698702382836641792/tdhTCKDs_normal.jpg</v>
      </c>
      <c r="AM111" s="64"/>
      <c r="AN111" s="64">
        <v>0</v>
      </c>
      <c r="AO111" s="64"/>
      <c r="AP111" s="64"/>
      <c r="AQ111" s="64" t="s">
        <v>1154</v>
      </c>
      <c r="AR111" s="64"/>
      <c r="AS111" s="136" t="s">
        <v>691</v>
      </c>
      <c r="AT111" s="64"/>
      <c r="AU111" s="64">
        <v>2</v>
      </c>
      <c r="AV111" s="136" t="s">
        <v>1287</v>
      </c>
      <c r="AW111" s="136" t="s">
        <v>1148</v>
      </c>
      <c r="AX111" s="64"/>
      <c r="AY111" s="136" t="s">
        <v>1287</v>
      </c>
      <c r="AZ111" s="64"/>
      <c r="BA111" s="64"/>
      <c r="BB111" s="64"/>
      <c r="BC111" s="64"/>
      <c r="BD111" s="64"/>
      <c r="BE111" s="64"/>
      <c r="BF111" s="64"/>
      <c r="BG111" s="64"/>
      <c r="BH111" s="64"/>
      <c r="BI111" s="64"/>
      <c r="BJ111" s="64"/>
      <c r="BK111" s="63" t="str">
        <f>REPLACE(INDEX(GroupVertices[Group],MATCH(Edges[[#This Row],[Vertex 1]],GroupVertices[Vertex],0)),1,1,"")</f>
        <v>8</v>
      </c>
      <c r="BL111" s="63" t="str">
        <f>REPLACE(INDEX(GroupVertices[Group],MATCH(Edges[[#This Row],[Vertex 2]],GroupVertices[Vertex],0)),1,1,"")</f>
        <v>8</v>
      </c>
      <c r="BM111" s="137">
        <v>45181</v>
      </c>
      <c r="BN111" s="138" t="s">
        <v>1239</v>
      </c>
      <c r="BO111" s="48">
        <v>0</v>
      </c>
      <c r="BP111" s="49">
        <v>0</v>
      </c>
      <c r="BQ111" s="48">
        <v>0</v>
      </c>
      <c r="BR111" s="49">
        <v>0</v>
      </c>
      <c r="BS111" s="48">
        <v>0</v>
      </c>
      <c r="BT111" s="49">
        <v>0</v>
      </c>
      <c r="BU111" s="107">
        <v>0</v>
      </c>
      <c r="BV111" s="64">
        <v>0</v>
      </c>
      <c r="BW111" s="64"/>
      <c r="BX111" s="64" t="s">
        <v>904</v>
      </c>
      <c r="BY111" s="64"/>
      <c r="BZ111" s="64"/>
      <c r="CA111" s="64"/>
      <c r="CB111" s="64"/>
      <c r="CC111" s="64"/>
      <c r="CD111" s="64"/>
      <c r="CE111" s="64"/>
      <c r="CF111" s="64"/>
      <c r="CG111" s="64"/>
      <c r="CH111" s="64"/>
      <c r="CI111" s="64"/>
      <c r="CJ111" s="64"/>
      <c r="CK111" s="136" t="s">
        <v>1362</v>
      </c>
      <c r="CL111" s="64"/>
      <c r="CM111" s="136" t="s">
        <v>691</v>
      </c>
      <c r="CN111" s="136" t="s">
        <v>1441</v>
      </c>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row>
    <row r="112" spans="1:128" ht="15">
      <c r="A112" s="62" t="s">
        <v>333</v>
      </c>
      <c r="B112" s="62" t="s">
        <v>959</v>
      </c>
      <c r="C112" s="78" t="s">
        <v>714</v>
      </c>
      <c r="D112" s="84">
        <v>5</v>
      </c>
      <c r="E112" s="85" t="s">
        <v>131</v>
      </c>
      <c r="F112" s="86">
        <v>16</v>
      </c>
      <c r="G112" s="78"/>
      <c r="H112" s="70"/>
      <c r="I112" s="87"/>
      <c r="J112" s="87"/>
      <c r="K112" s="34" t="s">
        <v>65</v>
      </c>
      <c r="L112" s="103">
        <v>112</v>
      </c>
      <c r="M112" s="103"/>
      <c r="N112" s="89"/>
      <c r="O112" s="64" t="s">
        <v>968</v>
      </c>
      <c r="P112" s="110">
        <v>45176.60953703704</v>
      </c>
      <c r="Q112" s="64" t="s">
        <v>1047</v>
      </c>
      <c r="R112" s="111" t="str">
        <f>HYPERLINK("https://www.cjr.org/the_media_today/elon_musk_adl_antisemitism.php")</f>
        <v>https://www.cjr.org/the_media_today/elon_musk_adl_antisemitism.php</v>
      </c>
      <c r="S112" s="64" t="s">
        <v>1097</v>
      </c>
      <c r="T112" s="64"/>
      <c r="U112" s="110">
        <v>45176.60953703704</v>
      </c>
      <c r="V112" s="111" t="str">
        <f>HYPERLINK("https://twitter.com/jeremyhl/status/1699794080363057525")</f>
        <v>https://twitter.com/jeremyhl/status/1699794080363057525</v>
      </c>
      <c r="W112" s="64"/>
      <c r="X112" s="64"/>
      <c r="Y112" s="136" t="s">
        <v>1363</v>
      </c>
      <c r="Z112" s="64"/>
      <c r="AA112" s="104">
        <v>1</v>
      </c>
      <c r="AB112" s="105"/>
      <c r="AC112" s="106"/>
      <c r="AD112" s="105"/>
      <c r="AE112" s="106"/>
      <c r="AF112" s="105"/>
      <c r="AG112" s="106"/>
      <c r="AH112" s="48">
        <v>9</v>
      </c>
      <c r="AI112" s="49">
        <v>56.25</v>
      </c>
      <c r="AJ112" s="48">
        <v>16</v>
      </c>
      <c r="AK112" s="107"/>
      <c r="AL112" s="111" t="str">
        <f>HYPERLINK("https://pbs.twimg.com/profile_images/912667889395798022/pMoB2qc8_normal.jpg")</f>
        <v>https://pbs.twimg.com/profile_images/912667889395798022/pMoB2qc8_normal.jpg</v>
      </c>
      <c r="AM112" s="64"/>
      <c r="AN112" s="64">
        <v>0</v>
      </c>
      <c r="AO112" s="64"/>
      <c r="AP112" s="64"/>
      <c r="AQ112" s="64" t="s">
        <v>1154</v>
      </c>
      <c r="AR112" s="64" t="b">
        <v>0</v>
      </c>
      <c r="AS112" s="136" t="s">
        <v>691</v>
      </c>
      <c r="AT112" s="64"/>
      <c r="AU112" s="64">
        <v>0</v>
      </c>
      <c r="AV112" s="136" t="s">
        <v>691</v>
      </c>
      <c r="AW112" s="136" t="s">
        <v>1149</v>
      </c>
      <c r="AX112" s="64"/>
      <c r="AY112" s="136" t="s">
        <v>1363</v>
      </c>
      <c r="AZ112" s="64"/>
      <c r="BA112" s="64"/>
      <c r="BB112" s="64"/>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2</v>
      </c>
      <c r="BM112" s="137">
        <v>45176</v>
      </c>
      <c r="BN112" s="138" t="s">
        <v>1240</v>
      </c>
      <c r="BO112" s="48">
        <v>0</v>
      </c>
      <c r="BP112" s="49">
        <v>0</v>
      </c>
      <c r="BQ112" s="48">
        <v>0</v>
      </c>
      <c r="BR112" s="49">
        <v>0</v>
      </c>
      <c r="BS112" s="48">
        <v>0</v>
      </c>
      <c r="BT112" s="49">
        <v>0</v>
      </c>
      <c r="BU112" s="107">
        <v>0</v>
      </c>
      <c r="BV112" s="64">
        <v>0</v>
      </c>
      <c r="BW112" s="64">
        <v>47</v>
      </c>
      <c r="BX112" s="64" t="s">
        <v>959</v>
      </c>
      <c r="BY112" s="64"/>
      <c r="BZ112" s="64"/>
      <c r="CA112" s="64"/>
      <c r="CB112" s="64"/>
      <c r="CC112" s="64"/>
      <c r="CD112" s="64"/>
      <c r="CE112" s="64"/>
      <c r="CF112" s="64"/>
      <c r="CG112" s="64"/>
      <c r="CH112" s="64"/>
      <c r="CI112" s="64"/>
      <c r="CJ112" s="64"/>
      <c r="CK112" s="136" t="s">
        <v>1363</v>
      </c>
      <c r="CL112" s="64"/>
      <c r="CM112" s="136" t="s">
        <v>691</v>
      </c>
      <c r="CN112" s="64">
        <v>12006842</v>
      </c>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row>
    <row r="113" spans="1:128" ht="15">
      <c r="A113" s="62" t="s">
        <v>333</v>
      </c>
      <c r="B113" s="62" t="s">
        <v>960</v>
      </c>
      <c r="C113" s="78" t="s">
        <v>714</v>
      </c>
      <c r="D113" s="84">
        <v>5</v>
      </c>
      <c r="E113" s="85" t="s">
        <v>131</v>
      </c>
      <c r="F113" s="86">
        <v>16</v>
      </c>
      <c r="G113" s="78"/>
      <c r="H113" s="70"/>
      <c r="I113" s="87"/>
      <c r="J113" s="87"/>
      <c r="K113" s="34" t="s">
        <v>65</v>
      </c>
      <c r="L113" s="103">
        <v>113</v>
      </c>
      <c r="M113" s="103"/>
      <c r="N113" s="89"/>
      <c r="O113" s="64" t="s">
        <v>968</v>
      </c>
      <c r="P113" s="110">
        <v>45180.586851851855</v>
      </c>
      <c r="Q113" s="64" t="s">
        <v>1048</v>
      </c>
      <c r="R113" s="111" t="str">
        <f>HYPERLINK("https://www.insidehighered.com/news/diversity/socioeconomics/2023/09/11/progress-backsliding-economic-diversity-selective-colleges")</f>
        <v>https://www.insidehighered.com/news/diversity/socioeconomics/2023/09/11/progress-backsliding-economic-diversity-selective-colleges</v>
      </c>
      <c r="S113" s="64" t="s">
        <v>1098</v>
      </c>
      <c r="T113" s="136" t="s">
        <v>1076</v>
      </c>
      <c r="U113" s="110">
        <v>45180.586851851855</v>
      </c>
      <c r="V113" s="111" t="str">
        <f>HYPERLINK("https://twitter.com/jeremyhl/status/1701235412415520897")</f>
        <v>https://twitter.com/jeremyhl/status/1701235412415520897</v>
      </c>
      <c r="W113" s="64"/>
      <c r="X113" s="64"/>
      <c r="Y113" s="136" t="s">
        <v>1364</v>
      </c>
      <c r="Z113" s="64"/>
      <c r="AA113" s="104">
        <v>1</v>
      </c>
      <c r="AB113" s="105"/>
      <c r="AC113" s="106"/>
      <c r="AD113" s="105"/>
      <c r="AE113" s="106"/>
      <c r="AF113" s="105"/>
      <c r="AG113" s="106"/>
      <c r="AH113" s="48">
        <v>14</v>
      </c>
      <c r="AI113" s="49">
        <v>66.66666666666667</v>
      </c>
      <c r="AJ113" s="48">
        <v>21</v>
      </c>
      <c r="AK113" s="107"/>
      <c r="AL113" s="111" t="str">
        <f>HYPERLINK("https://pbs.twimg.com/profile_images/912667889395798022/pMoB2qc8_normal.jpg")</f>
        <v>https://pbs.twimg.com/profile_images/912667889395798022/pMoB2qc8_normal.jpg</v>
      </c>
      <c r="AM113" s="64"/>
      <c r="AN113" s="64">
        <v>0</v>
      </c>
      <c r="AO113" s="64"/>
      <c r="AP113" s="64"/>
      <c r="AQ113" s="64" t="s">
        <v>1154</v>
      </c>
      <c r="AR113" s="64" t="b">
        <v>0</v>
      </c>
      <c r="AS113" s="136" t="s">
        <v>691</v>
      </c>
      <c r="AT113" s="64"/>
      <c r="AU113" s="64">
        <v>0</v>
      </c>
      <c r="AV113" s="136" t="s">
        <v>691</v>
      </c>
      <c r="AW113" s="136" t="s">
        <v>1149</v>
      </c>
      <c r="AX113" s="64"/>
      <c r="AY113" s="136" t="s">
        <v>1364</v>
      </c>
      <c r="AZ113" s="64"/>
      <c r="BA113" s="64"/>
      <c r="BB113" s="64"/>
      <c r="BC113" s="64"/>
      <c r="BD113" s="64"/>
      <c r="BE113" s="64"/>
      <c r="BF113" s="64"/>
      <c r="BG113" s="64"/>
      <c r="BH113" s="64"/>
      <c r="BI113" s="64"/>
      <c r="BJ113" s="64"/>
      <c r="BK113" s="63" t="str">
        <f>REPLACE(INDEX(GroupVertices[Group],MATCH(Edges[[#This Row],[Vertex 1]],GroupVertices[Vertex],0)),1,1,"")</f>
        <v>2</v>
      </c>
      <c r="BL113" s="63" t="str">
        <f>REPLACE(INDEX(GroupVertices[Group],MATCH(Edges[[#This Row],[Vertex 2]],GroupVertices[Vertex],0)),1,1,"")</f>
        <v>2</v>
      </c>
      <c r="BM113" s="137">
        <v>45180</v>
      </c>
      <c r="BN113" s="138" t="s">
        <v>1241</v>
      </c>
      <c r="BO113" s="48">
        <v>0</v>
      </c>
      <c r="BP113" s="49">
        <v>0</v>
      </c>
      <c r="BQ113" s="48">
        <v>0</v>
      </c>
      <c r="BR113" s="49">
        <v>0</v>
      </c>
      <c r="BS113" s="48">
        <v>0</v>
      </c>
      <c r="BT113" s="49">
        <v>0</v>
      </c>
      <c r="BU113" s="107">
        <v>0</v>
      </c>
      <c r="BV113" s="64">
        <v>0</v>
      </c>
      <c r="BW113" s="64">
        <v>54</v>
      </c>
      <c r="BX113" s="64" t="s">
        <v>960</v>
      </c>
      <c r="BY113" s="64"/>
      <c r="BZ113" s="64"/>
      <c r="CA113" s="64"/>
      <c r="CB113" s="64"/>
      <c r="CC113" s="64"/>
      <c r="CD113" s="64"/>
      <c r="CE113" s="64"/>
      <c r="CF113" s="64"/>
      <c r="CG113" s="64"/>
      <c r="CH113" s="64"/>
      <c r="CI113" s="64"/>
      <c r="CJ113" s="64"/>
      <c r="CK113" s="136" t="s">
        <v>1364</v>
      </c>
      <c r="CL113" s="64"/>
      <c r="CM113" s="136" t="s">
        <v>691</v>
      </c>
      <c r="CN113" s="64">
        <v>12006842</v>
      </c>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row>
    <row r="114" spans="1:128" ht="15">
      <c r="A114" s="62" t="s">
        <v>333</v>
      </c>
      <c r="B114" s="62" t="s">
        <v>961</v>
      </c>
      <c r="C114" s="78" t="s">
        <v>714</v>
      </c>
      <c r="D114" s="84">
        <v>5</v>
      </c>
      <c r="E114" s="85" t="s">
        <v>131</v>
      </c>
      <c r="F114" s="86">
        <v>16</v>
      </c>
      <c r="G114" s="78"/>
      <c r="H114" s="70"/>
      <c r="I114" s="87"/>
      <c r="J114" s="87"/>
      <c r="K114" s="34" t="s">
        <v>65</v>
      </c>
      <c r="L114" s="103">
        <v>114</v>
      </c>
      <c r="M114" s="103"/>
      <c r="N114" s="89"/>
      <c r="O114" s="64" t="s">
        <v>968</v>
      </c>
      <c r="P114" s="110">
        <v>45177.18861111111</v>
      </c>
      <c r="Q114" s="64" t="s">
        <v>1049</v>
      </c>
      <c r="R114" s="111"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s="64" t="s">
        <v>1085</v>
      </c>
      <c r="T114" s="136" t="s">
        <v>1077</v>
      </c>
      <c r="U114" s="110">
        <v>45177.18861111111</v>
      </c>
      <c r="V114" s="111" t="str">
        <f>HYPERLINK("https://twitter.com/jeremyhl/status/1700003930984402987")</f>
        <v>https://twitter.com/jeremyhl/status/1700003930984402987</v>
      </c>
      <c r="W114" s="64"/>
      <c r="X114" s="64"/>
      <c r="Y114" s="136" t="s">
        <v>1365</v>
      </c>
      <c r="Z114" s="64"/>
      <c r="AA114" s="104">
        <v>1</v>
      </c>
      <c r="AB114" s="105"/>
      <c r="AC114" s="106"/>
      <c r="AD114" s="105"/>
      <c r="AE114" s="106"/>
      <c r="AF114" s="105"/>
      <c r="AG114" s="106"/>
      <c r="AH114" s="48">
        <v>17</v>
      </c>
      <c r="AI114" s="49">
        <v>65.38461538461539</v>
      </c>
      <c r="AJ114" s="48">
        <v>26</v>
      </c>
      <c r="AK114" s="107"/>
      <c r="AL114" s="111" t="str">
        <f>HYPERLINK("https://pbs.twimg.com/profile_images/912667889395798022/pMoB2qc8_normal.jpg")</f>
        <v>https://pbs.twimg.com/profile_images/912667889395798022/pMoB2qc8_normal.jpg</v>
      </c>
      <c r="AM114" s="64"/>
      <c r="AN114" s="64">
        <v>0</v>
      </c>
      <c r="AO114" s="64"/>
      <c r="AP114" s="64"/>
      <c r="AQ114" s="64" t="s">
        <v>1154</v>
      </c>
      <c r="AR114" s="64" t="b">
        <v>0</v>
      </c>
      <c r="AS114" s="136" t="s">
        <v>691</v>
      </c>
      <c r="AT114" s="64"/>
      <c r="AU114" s="64">
        <v>0</v>
      </c>
      <c r="AV114" s="136" t="s">
        <v>691</v>
      </c>
      <c r="AW114" s="136" t="s">
        <v>1149</v>
      </c>
      <c r="AX114" s="64"/>
      <c r="AY114" s="136" t="s">
        <v>1365</v>
      </c>
      <c r="AZ114" s="64"/>
      <c r="BA114" s="64"/>
      <c r="BB114" s="64"/>
      <c r="BC114" s="64"/>
      <c r="BD114" s="64"/>
      <c r="BE114" s="64"/>
      <c r="BF114" s="64"/>
      <c r="BG114" s="64"/>
      <c r="BH114" s="64"/>
      <c r="BI114" s="64"/>
      <c r="BJ114" s="64"/>
      <c r="BK114" s="63" t="str">
        <f>REPLACE(INDEX(GroupVertices[Group],MATCH(Edges[[#This Row],[Vertex 1]],GroupVertices[Vertex],0)),1,1,"")</f>
        <v>2</v>
      </c>
      <c r="BL114" s="63" t="str">
        <f>REPLACE(INDEX(GroupVertices[Group],MATCH(Edges[[#This Row],[Vertex 2]],GroupVertices[Vertex],0)),1,1,"")</f>
        <v>2</v>
      </c>
      <c r="BM114" s="137">
        <v>45177</v>
      </c>
      <c r="BN114" s="138" t="s">
        <v>1242</v>
      </c>
      <c r="BO114" s="48">
        <v>0</v>
      </c>
      <c r="BP114" s="49">
        <v>0</v>
      </c>
      <c r="BQ114" s="48">
        <v>0</v>
      </c>
      <c r="BR114" s="49">
        <v>0</v>
      </c>
      <c r="BS114" s="48">
        <v>0</v>
      </c>
      <c r="BT114" s="49">
        <v>0</v>
      </c>
      <c r="BU114" s="107">
        <v>0</v>
      </c>
      <c r="BV114" s="64">
        <v>0</v>
      </c>
      <c r="BW114" s="64">
        <v>48</v>
      </c>
      <c r="BX114" s="64" t="s">
        <v>961</v>
      </c>
      <c r="BY114" s="64"/>
      <c r="BZ114" s="64"/>
      <c r="CA114" s="64"/>
      <c r="CB114" s="64"/>
      <c r="CC114" s="64"/>
      <c r="CD114" s="64"/>
      <c r="CE114" s="64"/>
      <c r="CF114" s="64"/>
      <c r="CG114" s="64"/>
      <c r="CH114" s="64"/>
      <c r="CI114" s="64"/>
      <c r="CJ114" s="64"/>
      <c r="CK114" s="136" t="s">
        <v>1365</v>
      </c>
      <c r="CL114" s="64"/>
      <c r="CM114" s="136" t="s">
        <v>691</v>
      </c>
      <c r="CN114" s="64">
        <v>12006842</v>
      </c>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row>
    <row r="115" spans="1:128" ht="15">
      <c r="A115" s="62" t="s">
        <v>333</v>
      </c>
      <c r="B115" s="62" t="s">
        <v>962</v>
      </c>
      <c r="C115" s="78" t="s">
        <v>714</v>
      </c>
      <c r="D115" s="84">
        <v>5</v>
      </c>
      <c r="E115" s="85" t="s">
        <v>131</v>
      </c>
      <c r="F115" s="86">
        <v>16</v>
      </c>
      <c r="G115" s="78"/>
      <c r="H115" s="70"/>
      <c r="I115" s="87"/>
      <c r="J115" s="87"/>
      <c r="K115" s="34" t="s">
        <v>65</v>
      </c>
      <c r="L115" s="103">
        <v>115</v>
      </c>
      <c r="M115" s="103"/>
      <c r="N115" s="89"/>
      <c r="O115" s="64" t="s">
        <v>968</v>
      </c>
      <c r="P115" s="110">
        <v>45178.74748842593</v>
      </c>
      <c r="Q115" s="64" t="s">
        <v>1050</v>
      </c>
      <c r="R115" s="64"/>
      <c r="S115" s="64"/>
      <c r="T115" s="64"/>
      <c r="U115" s="110">
        <v>45178.74748842593</v>
      </c>
      <c r="V115" s="111" t="str">
        <f>HYPERLINK("https://twitter.com/jeremyhl/status/1700568851082006845")</f>
        <v>https://twitter.com/jeremyhl/status/1700568851082006845</v>
      </c>
      <c r="W115" s="64"/>
      <c r="X115" s="64"/>
      <c r="Y115" s="136" t="s">
        <v>1366</v>
      </c>
      <c r="Z115" s="64"/>
      <c r="AA115" s="104">
        <v>1</v>
      </c>
      <c r="AB115" s="105"/>
      <c r="AC115" s="106"/>
      <c r="AD115" s="105"/>
      <c r="AE115" s="106"/>
      <c r="AF115" s="105"/>
      <c r="AG115" s="106"/>
      <c r="AH115" s="48">
        <v>4</v>
      </c>
      <c r="AI115" s="49">
        <v>66.66666666666667</v>
      </c>
      <c r="AJ115" s="48">
        <v>6</v>
      </c>
      <c r="AK115" s="107" t="s">
        <v>1140</v>
      </c>
      <c r="AL115" s="111" t="str">
        <f>HYPERLINK("https://pbs.twimg.com/media/F5miWzlXAAEU-WV.jpg")</f>
        <v>https://pbs.twimg.com/media/F5miWzlXAAEU-WV.jpg</v>
      </c>
      <c r="AM115" s="64"/>
      <c r="AN115" s="64">
        <v>0</v>
      </c>
      <c r="AO115" s="64"/>
      <c r="AP115" s="64"/>
      <c r="AQ115" s="64" t="s">
        <v>1154</v>
      </c>
      <c r="AR115" s="64" t="b">
        <v>0</v>
      </c>
      <c r="AS115" s="136" t="s">
        <v>691</v>
      </c>
      <c r="AT115" s="64"/>
      <c r="AU115" s="64">
        <v>0</v>
      </c>
      <c r="AV115" s="136" t="s">
        <v>691</v>
      </c>
      <c r="AW115" s="136" t="s">
        <v>1149</v>
      </c>
      <c r="AX115" s="64"/>
      <c r="AY115" s="136" t="s">
        <v>1366</v>
      </c>
      <c r="AZ115" s="64"/>
      <c r="BA115" s="64"/>
      <c r="BB115" s="64"/>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2</v>
      </c>
      <c r="BM115" s="137">
        <v>45178</v>
      </c>
      <c r="BN115" s="138" t="s">
        <v>1243</v>
      </c>
      <c r="BO115" s="48">
        <v>0</v>
      </c>
      <c r="BP115" s="49">
        <v>0</v>
      </c>
      <c r="BQ115" s="48">
        <v>0</v>
      </c>
      <c r="BR115" s="49">
        <v>0</v>
      </c>
      <c r="BS115" s="48">
        <v>0</v>
      </c>
      <c r="BT115" s="49">
        <v>0</v>
      </c>
      <c r="BU115" s="107">
        <v>0</v>
      </c>
      <c r="BV115" s="64">
        <v>0</v>
      </c>
      <c r="BW115" s="64">
        <v>31</v>
      </c>
      <c r="BX115" s="64" t="s">
        <v>962</v>
      </c>
      <c r="BY115" s="64"/>
      <c r="BZ115" s="64" t="s">
        <v>1142</v>
      </c>
      <c r="CA115" s="64"/>
      <c r="CB115" s="64"/>
      <c r="CC115" s="64"/>
      <c r="CD115" s="64" t="s">
        <v>1281</v>
      </c>
      <c r="CE115" s="64"/>
      <c r="CF115" s="64"/>
      <c r="CG115" s="64"/>
      <c r="CH115" s="64"/>
      <c r="CI115" s="64"/>
      <c r="CJ115" s="64"/>
      <c r="CK115" s="136" t="s">
        <v>1366</v>
      </c>
      <c r="CL115" s="136" t="s">
        <v>1419</v>
      </c>
      <c r="CM115" s="136" t="s">
        <v>691</v>
      </c>
      <c r="CN115" s="64">
        <v>12006842</v>
      </c>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row>
    <row r="116" spans="1:128" ht="15">
      <c r="A116" s="62" t="s">
        <v>333</v>
      </c>
      <c r="B116" s="62" t="s">
        <v>963</v>
      </c>
      <c r="C116" s="78" t="s">
        <v>2239</v>
      </c>
      <c r="D116" s="84">
        <v>10</v>
      </c>
      <c r="E116" s="85" t="s">
        <v>135</v>
      </c>
      <c r="F116" s="86">
        <v>8.307692307692307</v>
      </c>
      <c r="G116" s="78"/>
      <c r="H116" s="70"/>
      <c r="I116" s="87"/>
      <c r="J116" s="87"/>
      <c r="K116" s="34" t="s">
        <v>65</v>
      </c>
      <c r="L116" s="103">
        <v>116</v>
      </c>
      <c r="M116" s="103"/>
      <c r="N116" s="89"/>
      <c r="O116" s="64" t="s">
        <v>968</v>
      </c>
      <c r="P116" s="110">
        <v>45176.54498842593</v>
      </c>
      <c r="Q116" s="64" t="s">
        <v>1051</v>
      </c>
      <c r="R116" s="111" t="str">
        <f>HYPERLINK("https://apnews.com/article/44850c92a3d9480cc067474490140d88")</f>
        <v>https://apnews.com/article/44850c92a3d9480cc067474490140d88</v>
      </c>
      <c r="S116" s="64" t="s">
        <v>1099</v>
      </c>
      <c r="T116" s="136" t="s">
        <v>1078</v>
      </c>
      <c r="U116" s="110">
        <v>45176.54498842593</v>
      </c>
      <c r="V116" s="111" t="str">
        <f>HYPERLINK("https://twitter.com/jeremyhl/status/1699770689467654396")</f>
        <v>https://twitter.com/jeremyhl/status/1699770689467654396</v>
      </c>
      <c r="W116" s="64"/>
      <c r="X116" s="64"/>
      <c r="Y116" s="136" t="s">
        <v>1367</v>
      </c>
      <c r="Z116" s="64"/>
      <c r="AA116" s="104">
        <v>11</v>
      </c>
      <c r="AB116" s="105"/>
      <c r="AC116" s="106"/>
      <c r="AD116" s="105"/>
      <c r="AE116" s="106"/>
      <c r="AF116" s="105"/>
      <c r="AG116" s="106"/>
      <c r="AH116" s="48">
        <v>24</v>
      </c>
      <c r="AI116" s="49">
        <v>60</v>
      </c>
      <c r="AJ116" s="48">
        <v>40</v>
      </c>
      <c r="AK116" s="107"/>
      <c r="AL116" s="111" t="str">
        <f>HYPERLINK("https://pbs.twimg.com/profile_images/912667889395798022/pMoB2qc8_normal.jpg")</f>
        <v>https://pbs.twimg.com/profile_images/912667889395798022/pMoB2qc8_normal.jpg</v>
      </c>
      <c r="AM116" s="64"/>
      <c r="AN116" s="64">
        <v>0</v>
      </c>
      <c r="AO116" s="64"/>
      <c r="AP116" s="64"/>
      <c r="AQ116" s="64" t="s">
        <v>1154</v>
      </c>
      <c r="AR116" s="64" t="b">
        <v>0</v>
      </c>
      <c r="AS116" s="136" t="s">
        <v>691</v>
      </c>
      <c r="AT116" s="64"/>
      <c r="AU116" s="64">
        <v>0</v>
      </c>
      <c r="AV116" s="136" t="s">
        <v>691</v>
      </c>
      <c r="AW116" s="136" t="s">
        <v>1149</v>
      </c>
      <c r="AX116" s="64"/>
      <c r="AY116" s="136" t="s">
        <v>1367</v>
      </c>
      <c r="AZ116" s="64"/>
      <c r="BA116" s="64"/>
      <c r="BB116" s="64"/>
      <c r="BC116" s="64"/>
      <c r="BD116" s="64"/>
      <c r="BE116" s="64"/>
      <c r="BF116" s="64"/>
      <c r="BG116" s="64"/>
      <c r="BH116" s="64"/>
      <c r="BI116" s="64"/>
      <c r="BJ116" s="64"/>
      <c r="BK116" s="63" t="str">
        <f>REPLACE(INDEX(GroupVertices[Group],MATCH(Edges[[#This Row],[Vertex 1]],GroupVertices[Vertex],0)),1,1,"")</f>
        <v>2</v>
      </c>
      <c r="BL116" s="63" t="str">
        <f>REPLACE(INDEX(GroupVertices[Group],MATCH(Edges[[#This Row],[Vertex 2]],GroupVertices[Vertex],0)),1,1,"")</f>
        <v>2</v>
      </c>
      <c r="BM116" s="137">
        <v>45176</v>
      </c>
      <c r="BN116" s="138" t="s">
        <v>1244</v>
      </c>
      <c r="BO116" s="48">
        <v>0</v>
      </c>
      <c r="BP116" s="49">
        <v>0</v>
      </c>
      <c r="BQ116" s="48">
        <v>0</v>
      </c>
      <c r="BR116" s="49">
        <v>0</v>
      </c>
      <c r="BS116" s="48">
        <v>0</v>
      </c>
      <c r="BT116" s="49">
        <v>0</v>
      </c>
      <c r="BU116" s="107">
        <v>0</v>
      </c>
      <c r="BV116" s="64">
        <v>0</v>
      </c>
      <c r="BW116" s="64">
        <v>39</v>
      </c>
      <c r="BX116" s="64" t="s">
        <v>963</v>
      </c>
      <c r="BY116" s="64"/>
      <c r="BZ116" s="64"/>
      <c r="CA116" s="64"/>
      <c r="CB116" s="64"/>
      <c r="CC116" s="64"/>
      <c r="CD116" s="64"/>
      <c r="CE116" s="64"/>
      <c r="CF116" s="64"/>
      <c r="CG116" s="64"/>
      <c r="CH116" s="64"/>
      <c r="CI116" s="64"/>
      <c r="CJ116" s="64"/>
      <c r="CK116" s="136" t="s">
        <v>1367</v>
      </c>
      <c r="CL116" s="64"/>
      <c r="CM116" s="136" t="s">
        <v>691</v>
      </c>
      <c r="CN116" s="64">
        <v>12006842</v>
      </c>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row>
    <row r="117" spans="1:128" ht="15">
      <c r="A117" s="62" t="s">
        <v>333</v>
      </c>
      <c r="B117" s="62" t="s">
        <v>963</v>
      </c>
      <c r="C117" s="78" t="s">
        <v>2239</v>
      </c>
      <c r="D117" s="84">
        <v>10</v>
      </c>
      <c r="E117" s="85" t="s">
        <v>135</v>
      </c>
      <c r="F117" s="86">
        <v>8.307692307692307</v>
      </c>
      <c r="G117" s="78"/>
      <c r="H117" s="70"/>
      <c r="I117" s="87"/>
      <c r="J117" s="87"/>
      <c r="K117" s="34" t="s">
        <v>65</v>
      </c>
      <c r="L117" s="103">
        <v>117</v>
      </c>
      <c r="M117" s="103"/>
      <c r="N117" s="89"/>
      <c r="O117" s="64" t="s">
        <v>968</v>
      </c>
      <c r="P117" s="110">
        <v>45181.68199074074</v>
      </c>
      <c r="Q117" s="64" t="s">
        <v>1052</v>
      </c>
      <c r="R117" s="111" t="str">
        <f>HYPERLINK("https://apnews.com/article/687b9a5b90ec18f207d36df3ba11aebd")</f>
        <v>https://apnews.com/article/687b9a5b90ec18f207d36df3ba11aebd</v>
      </c>
      <c r="S117" s="64" t="s">
        <v>1099</v>
      </c>
      <c r="T117" s="136" t="s">
        <v>1077</v>
      </c>
      <c r="U117" s="110">
        <v>45181.68199074074</v>
      </c>
      <c r="V117" s="111" t="str">
        <f>HYPERLINK("https://twitter.com/jeremyhl/status/1701632276033892828")</f>
        <v>https://twitter.com/jeremyhl/status/1701632276033892828</v>
      </c>
      <c r="W117" s="64"/>
      <c r="X117" s="64"/>
      <c r="Y117" s="136" t="s">
        <v>1368</v>
      </c>
      <c r="Z117" s="64"/>
      <c r="AA117" s="104">
        <v>11</v>
      </c>
      <c r="AB117" s="105"/>
      <c r="AC117" s="106"/>
      <c r="AD117" s="105"/>
      <c r="AE117" s="106"/>
      <c r="AF117" s="105"/>
      <c r="AG117" s="106"/>
      <c r="AH117" s="48">
        <v>26</v>
      </c>
      <c r="AI117" s="49">
        <v>65</v>
      </c>
      <c r="AJ117" s="48">
        <v>40</v>
      </c>
      <c r="AK117" s="107"/>
      <c r="AL117" s="111" t="str">
        <f>HYPERLINK("https://pbs.twimg.com/profile_images/912667889395798022/pMoB2qc8_normal.jpg")</f>
        <v>https://pbs.twimg.com/profile_images/912667889395798022/pMoB2qc8_normal.jpg</v>
      </c>
      <c r="AM117" s="64"/>
      <c r="AN117" s="64">
        <v>0</v>
      </c>
      <c r="AO117" s="64"/>
      <c r="AP117" s="64"/>
      <c r="AQ117" s="64" t="s">
        <v>1154</v>
      </c>
      <c r="AR117" s="64" t="b">
        <v>0</v>
      </c>
      <c r="AS117" s="136" t="s">
        <v>691</v>
      </c>
      <c r="AT117" s="64"/>
      <c r="AU117" s="64">
        <v>0</v>
      </c>
      <c r="AV117" s="136" t="s">
        <v>691</v>
      </c>
      <c r="AW117" s="136" t="s">
        <v>1149</v>
      </c>
      <c r="AX117" s="64"/>
      <c r="AY117" s="136" t="s">
        <v>1368</v>
      </c>
      <c r="AZ117" s="64"/>
      <c r="BA117" s="64"/>
      <c r="BB117" s="64"/>
      <c r="BC117" s="64"/>
      <c r="BD117" s="64"/>
      <c r="BE117" s="64"/>
      <c r="BF117" s="64"/>
      <c r="BG117" s="64"/>
      <c r="BH117" s="64"/>
      <c r="BI117" s="64"/>
      <c r="BJ117" s="64"/>
      <c r="BK117" s="63" t="str">
        <f>REPLACE(INDEX(GroupVertices[Group],MATCH(Edges[[#This Row],[Vertex 1]],GroupVertices[Vertex],0)),1,1,"")</f>
        <v>2</v>
      </c>
      <c r="BL117" s="63" t="str">
        <f>REPLACE(INDEX(GroupVertices[Group],MATCH(Edges[[#This Row],[Vertex 2]],GroupVertices[Vertex],0)),1,1,"")</f>
        <v>2</v>
      </c>
      <c r="BM117" s="137">
        <v>45181</v>
      </c>
      <c r="BN117" s="138" t="s">
        <v>1245</v>
      </c>
      <c r="BO117" s="48">
        <v>0</v>
      </c>
      <c r="BP117" s="49">
        <v>0</v>
      </c>
      <c r="BQ117" s="48">
        <v>0</v>
      </c>
      <c r="BR117" s="49">
        <v>0</v>
      </c>
      <c r="BS117" s="48">
        <v>0</v>
      </c>
      <c r="BT117" s="49">
        <v>0</v>
      </c>
      <c r="BU117" s="107">
        <v>0</v>
      </c>
      <c r="BV117" s="64">
        <v>0</v>
      </c>
      <c r="BW117" s="64">
        <v>51</v>
      </c>
      <c r="BX117" s="64" t="s">
        <v>963</v>
      </c>
      <c r="BY117" s="64"/>
      <c r="BZ117" s="64"/>
      <c r="CA117" s="64"/>
      <c r="CB117" s="64"/>
      <c r="CC117" s="64"/>
      <c r="CD117" s="64"/>
      <c r="CE117" s="64"/>
      <c r="CF117" s="64"/>
      <c r="CG117" s="64"/>
      <c r="CH117" s="64"/>
      <c r="CI117" s="64"/>
      <c r="CJ117" s="64"/>
      <c r="CK117" s="136" t="s">
        <v>1368</v>
      </c>
      <c r="CL117" s="64"/>
      <c r="CM117" s="136" t="s">
        <v>691</v>
      </c>
      <c r="CN117" s="64">
        <v>12006842</v>
      </c>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row>
    <row r="118" spans="1:128" ht="15">
      <c r="A118" s="62" t="s">
        <v>333</v>
      </c>
      <c r="B118" s="62" t="s">
        <v>963</v>
      </c>
      <c r="C118" s="78" t="s">
        <v>2239</v>
      </c>
      <c r="D118" s="84">
        <v>10</v>
      </c>
      <c r="E118" s="85" t="s">
        <v>135</v>
      </c>
      <c r="F118" s="86">
        <v>8.307692307692307</v>
      </c>
      <c r="G118" s="78"/>
      <c r="H118" s="70"/>
      <c r="I118" s="87"/>
      <c r="J118" s="87"/>
      <c r="K118" s="34" t="s">
        <v>65</v>
      </c>
      <c r="L118" s="103">
        <v>118</v>
      </c>
      <c r="M118" s="103"/>
      <c r="N118" s="89"/>
      <c r="O118" s="64" t="s">
        <v>968</v>
      </c>
      <c r="P118" s="110">
        <v>45176.219375</v>
      </c>
      <c r="Q118" s="64" t="s">
        <v>1053</v>
      </c>
      <c r="R118" s="111" t="str">
        <f>HYPERLINK("https://apnews.com/article/23a770d706f3d8a1d7b1a3e4fc8529e3")</f>
        <v>https://apnews.com/article/23a770d706f3d8a1d7b1a3e4fc8529e3</v>
      </c>
      <c r="S118" s="64" t="s">
        <v>1099</v>
      </c>
      <c r="T118" s="64"/>
      <c r="U118" s="110">
        <v>45176.219375</v>
      </c>
      <c r="V118" s="111" t="str">
        <f>HYPERLINK("https://twitter.com/jeremyhl/status/1699652692694442265")</f>
        <v>https://twitter.com/jeremyhl/status/1699652692694442265</v>
      </c>
      <c r="W118" s="64"/>
      <c r="X118" s="64"/>
      <c r="Y118" s="136" t="s">
        <v>1369</v>
      </c>
      <c r="Z118" s="64"/>
      <c r="AA118" s="104">
        <v>11</v>
      </c>
      <c r="AB118" s="105"/>
      <c r="AC118" s="106"/>
      <c r="AD118" s="105"/>
      <c r="AE118" s="106"/>
      <c r="AF118" s="105"/>
      <c r="AG118" s="106"/>
      <c r="AH118" s="48">
        <v>11</v>
      </c>
      <c r="AI118" s="49">
        <v>68.75</v>
      </c>
      <c r="AJ118" s="48">
        <v>16</v>
      </c>
      <c r="AK118" s="107"/>
      <c r="AL118" s="111" t="str">
        <f>HYPERLINK("https://pbs.twimg.com/profile_images/912667889395798022/pMoB2qc8_normal.jpg")</f>
        <v>https://pbs.twimg.com/profile_images/912667889395798022/pMoB2qc8_normal.jpg</v>
      </c>
      <c r="AM118" s="64"/>
      <c r="AN118" s="64">
        <v>0</v>
      </c>
      <c r="AO118" s="64"/>
      <c r="AP118" s="64"/>
      <c r="AQ118" s="64" t="s">
        <v>1154</v>
      </c>
      <c r="AR118" s="64" t="b">
        <v>0</v>
      </c>
      <c r="AS118" s="136" t="s">
        <v>691</v>
      </c>
      <c r="AT118" s="64"/>
      <c r="AU118" s="64">
        <v>0</v>
      </c>
      <c r="AV118" s="136" t="s">
        <v>691</v>
      </c>
      <c r="AW118" s="136" t="s">
        <v>1149</v>
      </c>
      <c r="AX118" s="64"/>
      <c r="AY118" s="136" t="s">
        <v>1369</v>
      </c>
      <c r="AZ118" s="64"/>
      <c r="BA118" s="64"/>
      <c r="BB118" s="64"/>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c r="BM118" s="137">
        <v>45176</v>
      </c>
      <c r="BN118" s="138" t="s">
        <v>1246</v>
      </c>
      <c r="BO118" s="48">
        <v>0</v>
      </c>
      <c r="BP118" s="49">
        <v>0</v>
      </c>
      <c r="BQ118" s="48">
        <v>0</v>
      </c>
      <c r="BR118" s="49">
        <v>0</v>
      </c>
      <c r="BS118" s="48">
        <v>0</v>
      </c>
      <c r="BT118" s="49">
        <v>0</v>
      </c>
      <c r="BU118" s="107">
        <v>0</v>
      </c>
      <c r="BV118" s="64">
        <v>0</v>
      </c>
      <c r="BW118" s="64">
        <v>46</v>
      </c>
      <c r="BX118" s="64" t="s">
        <v>963</v>
      </c>
      <c r="BY118" s="64"/>
      <c r="BZ118" s="64"/>
      <c r="CA118" s="64"/>
      <c r="CB118" s="64"/>
      <c r="CC118" s="64"/>
      <c r="CD118" s="64"/>
      <c r="CE118" s="64"/>
      <c r="CF118" s="64"/>
      <c r="CG118" s="64"/>
      <c r="CH118" s="64"/>
      <c r="CI118" s="64"/>
      <c r="CJ118" s="64"/>
      <c r="CK118" s="136" t="s">
        <v>1369</v>
      </c>
      <c r="CL118" s="64"/>
      <c r="CM118" s="136" t="s">
        <v>691</v>
      </c>
      <c r="CN118" s="64">
        <v>12006842</v>
      </c>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row>
    <row r="119" spans="1:128" ht="15">
      <c r="A119" s="62" t="s">
        <v>333</v>
      </c>
      <c r="B119" s="62" t="s">
        <v>963</v>
      </c>
      <c r="C119" s="78" t="s">
        <v>2239</v>
      </c>
      <c r="D119" s="84">
        <v>10</v>
      </c>
      <c r="E119" s="85" t="s">
        <v>135</v>
      </c>
      <c r="F119" s="86">
        <v>8.307692307692307</v>
      </c>
      <c r="G119" s="78"/>
      <c r="H119" s="70"/>
      <c r="I119" s="87"/>
      <c r="J119" s="87"/>
      <c r="K119" s="34" t="s">
        <v>65</v>
      </c>
      <c r="L119" s="103">
        <v>119</v>
      </c>
      <c r="M119" s="103"/>
      <c r="N119" s="89"/>
      <c r="O119" s="64" t="s">
        <v>968</v>
      </c>
      <c r="P119" s="110">
        <v>45178.52875</v>
      </c>
      <c r="Q119" s="64" t="s">
        <v>1054</v>
      </c>
      <c r="R119" s="111" t="str">
        <f>HYPERLINK("https://apnews.com/article/7f4a503009dede0dec0208c08d6b100b")</f>
        <v>https://apnews.com/article/7f4a503009dede0dec0208c08d6b100b</v>
      </c>
      <c r="S119" s="64" t="s">
        <v>1099</v>
      </c>
      <c r="T119" s="136" t="s">
        <v>1079</v>
      </c>
      <c r="U119" s="110">
        <v>45178.52875</v>
      </c>
      <c r="V119" s="111" t="str">
        <f>HYPERLINK("https://twitter.com/jeremyhl/status/1700489580317749264")</f>
        <v>https://twitter.com/jeremyhl/status/1700489580317749264</v>
      </c>
      <c r="W119" s="64"/>
      <c r="X119" s="64"/>
      <c r="Y119" s="136" t="s">
        <v>1370</v>
      </c>
      <c r="Z119" s="64"/>
      <c r="AA119" s="104">
        <v>11</v>
      </c>
      <c r="AB119" s="105"/>
      <c r="AC119" s="106"/>
      <c r="AD119" s="105"/>
      <c r="AE119" s="106"/>
      <c r="AF119" s="105"/>
      <c r="AG119" s="106"/>
      <c r="AH119" s="48">
        <v>23</v>
      </c>
      <c r="AI119" s="49">
        <v>71.875</v>
      </c>
      <c r="AJ119" s="48">
        <v>32</v>
      </c>
      <c r="AK119" s="107"/>
      <c r="AL119" s="111" t="str">
        <f>HYPERLINK("https://pbs.twimg.com/profile_images/912667889395798022/pMoB2qc8_normal.jpg")</f>
        <v>https://pbs.twimg.com/profile_images/912667889395798022/pMoB2qc8_normal.jpg</v>
      </c>
      <c r="AM119" s="64"/>
      <c r="AN119" s="64">
        <v>0</v>
      </c>
      <c r="AO119" s="64"/>
      <c r="AP119" s="64"/>
      <c r="AQ119" s="64" t="s">
        <v>1154</v>
      </c>
      <c r="AR119" s="64" t="b">
        <v>0</v>
      </c>
      <c r="AS119" s="136" t="s">
        <v>691</v>
      </c>
      <c r="AT119" s="64"/>
      <c r="AU119" s="64">
        <v>0</v>
      </c>
      <c r="AV119" s="136" t="s">
        <v>691</v>
      </c>
      <c r="AW119" s="136" t="s">
        <v>1149</v>
      </c>
      <c r="AX119" s="64"/>
      <c r="AY119" s="136" t="s">
        <v>1370</v>
      </c>
      <c r="AZ119" s="64"/>
      <c r="BA119" s="64"/>
      <c r="BB119" s="64"/>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2</v>
      </c>
      <c r="BM119" s="137">
        <v>45178</v>
      </c>
      <c r="BN119" s="138" t="s">
        <v>1247</v>
      </c>
      <c r="BO119" s="48">
        <v>0</v>
      </c>
      <c r="BP119" s="49">
        <v>0</v>
      </c>
      <c r="BQ119" s="48">
        <v>0</v>
      </c>
      <c r="BR119" s="49">
        <v>0</v>
      </c>
      <c r="BS119" s="48">
        <v>0</v>
      </c>
      <c r="BT119" s="49">
        <v>0</v>
      </c>
      <c r="BU119" s="107">
        <v>0</v>
      </c>
      <c r="BV119" s="64">
        <v>0</v>
      </c>
      <c r="BW119" s="64">
        <v>172</v>
      </c>
      <c r="BX119" s="64" t="s">
        <v>963</v>
      </c>
      <c r="BY119" s="64"/>
      <c r="BZ119" s="64"/>
      <c r="CA119" s="64"/>
      <c r="CB119" s="64"/>
      <c r="CC119" s="64"/>
      <c r="CD119" s="64"/>
      <c r="CE119" s="64"/>
      <c r="CF119" s="64"/>
      <c r="CG119" s="64"/>
      <c r="CH119" s="64"/>
      <c r="CI119" s="64"/>
      <c r="CJ119" s="64"/>
      <c r="CK119" s="136" t="s">
        <v>1370</v>
      </c>
      <c r="CL119" s="64"/>
      <c r="CM119" s="136" t="s">
        <v>691</v>
      </c>
      <c r="CN119" s="64">
        <v>12006842</v>
      </c>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row>
    <row r="120" spans="1:128" ht="15">
      <c r="A120" s="62" t="s">
        <v>333</v>
      </c>
      <c r="B120" s="62" t="s">
        <v>963</v>
      </c>
      <c r="C120" s="78" t="s">
        <v>2239</v>
      </c>
      <c r="D120" s="84">
        <v>10</v>
      </c>
      <c r="E120" s="85" t="s">
        <v>135</v>
      </c>
      <c r="F120" s="86">
        <v>8.307692307692307</v>
      </c>
      <c r="G120" s="78"/>
      <c r="H120" s="70"/>
      <c r="I120" s="87"/>
      <c r="J120" s="87"/>
      <c r="K120" s="34" t="s">
        <v>65</v>
      </c>
      <c r="L120" s="103">
        <v>120</v>
      </c>
      <c r="M120" s="103"/>
      <c r="N120" s="89"/>
      <c r="O120" s="64" t="s">
        <v>968</v>
      </c>
      <c r="P120" s="110">
        <v>45180.54850694445</v>
      </c>
      <c r="Q120" s="64" t="s">
        <v>1055</v>
      </c>
      <c r="R120" s="111" t="str">
        <f>HYPERLINK("https://apnews.com/article/962edb0f437fe93a28724a5339176daf")</f>
        <v>https://apnews.com/article/962edb0f437fe93a28724a5339176daf</v>
      </c>
      <c r="S120" s="64" t="s">
        <v>1099</v>
      </c>
      <c r="T120" s="136" t="s">
        <v>1080</v>
      </c>
      <c r="U120" s="110">
        <v>45180.54850694445</v>
      </c>
      <c r="V120" s="111" t="str">
        <f>HYPERLINK("https://twitter.com/jeremyhl/status/1701221517789384718")</f>
        <v>https://twitter.com/jeremyhl/status/1701221517789384718</v>
      </c>
      <c r="W120" s="64"/>
      <c r="X120" s="64"/>
      <c r="Y120" s="136" t="s">
        <v>1371</v>
      </c>
      <c r="Z120" s="64"/>
      <c r="AA120" s="104">
        <v>11</v>
      </c>
      <c r="AB120" s="105"/>
      <c r="AC120" s="106"/>
      <c r="AD120" s="105"/>
      <c r="AE120" s="106"/>
      <c r="AF120" s="105"/>
      <c r="AG120" s="106"/>
      <c r="AH120" s="48">
        <v>14</v>
      </c>
      <c r="AI120" s="49">
        <v>46.666666666666664</v>
      </c>
      <c r="AJ120" s="48">
        <v>30</v>
      </c>
      <c r="AK120" s="107"/>
      <c r="AL120" s="111" t="str">
        <f>HYPERLINK("https://pbs.twimg.com/profile_images/912667889395798022/pMoB2qc8_normal.jpg")</f>
        <v>https://pbs.twimg.com/profile_images/912667889395798022/pMoB2qc8_normal.jpg</v>
      </c>
      <c r="AM120" s="64"/>
      <c r="AN120" s="64">
        <v>0</v>
      </c>
      <c r="AO120" s="64"/>
      <c r="AP120" s="64"/>
      <c r="AQ120" s="64" t="s">
        <v>1154</v>
      </c>
      <c r="AR120" s="64" t="b">
        <v>0</v>
      </c>
      <c r="AS120" s="136" t="s">
        <v>691</v>
      </c>
      <c r="AT120" s="64"/>
      <c r="AU120" s="64">
        <v>0</v>
      </c>
      <c r="AV120" s="136" t="s">
        <v>691</v>
      </c>
      <c r="AW120" s="136" t="s">
        <v>1149</v>
      </c>
      <c r="AX120" s="64"/>
      <c r="AY120" s="136" t="s">
        <v>1371</v>
      </c>
      <c r="AZ120" s="64"/>
      <c r="BA120" s="64"/>
      <c r="BB120" s="64"/>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2</v>
      </c>
      <c r="BM120" s="137">
        <v>45180</v>
      </c>
      <c r="BN120" s="138" t="s">
        <v>1248</v>
      </c>
      <c r="BO120" s="48">
        <v>0</v>
      </c>
      <c r="BP120" s="49">
        <v>0</v>
      </c>
      <c r="BQ120" s="48">
        <v>0</v>
      </c>
      <c r="BR120" s="49">
        <v>0</v>
      </c>
      <c r="BS120" s="48">
        <v>0</v>
      </c>
      <c r="BT120" s="49">
        <v>0</v>
      </c>
      <c r="BU120" s="107">
        <v>0</v>
      </c>
      <c r="BV120" s="64">
        <v>0</v>
      </c>
      <c r="BW120" s="64">
        <v>63</v>
      </c>
      <c r="BX120" s="64" t="s">
        <v>963</v>
      </c>
      <c r="BY120" s="64"/>
      <c r="BZ120" s="64"/>
      <c r="CA120" s="64"/>
      <c r="CB120" s="64"/>
      <c r="CC120" s="64"/>
      <c r="CD120" s="64"/>
      <c r="CE120" s="64"/>
      <c r="CF120" s="64"/>
      <c r="CG120" s="64"/>
      <c r="CH120" s="64"/>
      <c r="CI120" s="64"/>
      <c r="CJ120" s="64"/>
      <c r="CK120" s="136" t="s">
        <v>1371</v>
      </c>
      <c r="CL120" s="64"/>
      <c r="CM120" s="136" t="s">
        <v>691</v>
      </c>
      <c r="CN120" s="64">
        <v>12006842</v>
      </c>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row>
    <row r="121" spans="1:128" ht="15">
      <c r="A121" s="62" t="s">
        <v>333</v>
      </c>
      <c r="B121" s="62" t="s">
        <v>963</v>
      </c>
      <c r="C121" s="78" t="s">
        <v>2239</v>
      </c>
      <c r="D121" s="84">
        <v>10</v>
      </c>
      <c r="E121" s="85" t="s">
        <v>135</v>
      </c>
      <c r="F121" s="86">
        <v>8.307692307692307</v>
      </c>
      <c r="G121" s="78"/>
      <c r="H121" s="70"/>
      <c r="I121" s="87"/>
      <c r="J121" s="87"/>
      <c r="K121" s="34" t="s">
        <v>65</v>
      </c>
      <c r="L121" s="103">
        <v>121</v>
      </c>
      <c r="M121" s="103"/>
      <c r="N121" s="89"/>
      <c r="O121" s="64" t="s">
        <v>968</v>
      </c>
      <c r="P121" s="110">
        <v>45179.52755787037</v>
      </c>
      <c r="Q121" s="64" t="s">
        <v>1056</v>
      </c>
      <c r="R121" s="111" t="str">
        <f>HYPERLINK("https://apnews.com/article/f551fde98083d17a7e8d904f8be822c4")</f>
        <v>https://apnews.com/article/f551fde98083d17a7e8d904f8be822c4</v>
      </c>
      <c r="S121" s="64" t="s">
        <v>1099</v>
      </c>
      <c r="T121" s="136" t="s">
        <v>1081</v>
      </c>
      <c r="U121" s="110">
        <v>45179.52755787037</v>
      </c>
      <c r="V121" s="111" t="str">
        <f>HYPERLINK("https://twitter.com/jeremyhl/status/1700851536769716690")</f>
        <v>https://twitter.com/jeremyhl/status/1700851536769716690</v>
      </c>
      <c r="W121" s="64"/>
      <c r="X121" s="64"/>
      <c r="Y121" s="136" t="s">
        <v>1372</v>
      </c>
      <c r="Z121" s="64"/>
      <c r="AA121" s="104">
        <v>11</v>
      </c>
      <c r="AB121" s="105"/>
      <c r="AC121" s="106"/>
      <c r="AD121" s="105"/>
      <c r="AE121" s="106"/>
      <c r="AF121" s="105"/>
      <c r="AG121" s="106"/>
      <c r="AH121" s="48">
        <v>29</v>
      </c>
      <c r="AI121" s="49">
        <v>65.9090909090909</v>
      </c>
      <c r="AJ121" s="48">
        <v>44</v>
      </c>
      <c r="AK121" s="107"/>
      <c r="AL121" s="111" t="str">
        <f>HYPERLINK("https://pbs.twimg.com/profile_images/912667889395798022/pMoB2qc8_normal.jpg")</f>
        <v>https://pbs.twimg.com/profile_images/912667889395798022/pMoB2qc8_normal.jpg</v>
      </c>
      <c r="AM121" s="64"/>
      <c r="AN121" s="64">
        <v>2</v>
      </c>
      <c r="AO121" s="64"/>
      <c r="AP121" s="64"/>
      <c r="AQ121" s="64" t="s">
        <v>1154</v>
      </c>
      <c r="AR121" s="64" t="b">
        <v>0</v>
      </c>
      <c r="AS121" s="136" t="s">
        <v>691</v>
      </c>
      <c r="AT121" s="64"/>
      <c r="AU121" s="64">
        <v>0</v>
      </c>
      <c r="AV121" s="136" t="s">
        <v>691</v>
      </c>
      <c r="AW121" s="136" t="s">
        <v>1149</v>
      </c>
      <c r="AX121" s="64"/>
      <c r="AY121" s="136" t="s">
        <v>1372</v>
      </c>
      <c r="AZ121" s="64"/>
      <c r="BA121" s="64"/>
      <c r="BB121" s="64"/>
      <c r="BC121" s="64"/>
      <c r="BD121" s="64"/>
      <c r="BE121" s="64"/>
      <c r="BF121" s="64"/>
      <c r="BG121" s="64"/>
      <c r="BH121" s="64"/>
      <c r="BI121" s="64"/>
      <c r="BJ121" s="64"/>
      <c r="BK121" s="63" t="str">
        <f>REPLACE(INDEX(GroupVertices[Group],MATCH(Edges[[#This Row],[Vertex 1]],GroupVertices[Vertex],0)),1,1,"")</f>
        <v>2</v>
      </c>
      <c r="BL121" s="63" t="str">
        <f>REPLACE(INDEX(GroupVertices[Group],MATCH(Edges[[#This Row],[Vertex 2]],GroupVertices[Vertex],0)),1,1,"")</f>
        <v>2</v>
      </c>
      <c r="BM121" s="137">
        <v>45179</v>
      </c>
      <c r="BN121" s="138" t="s">
        <v>1249</v>
      </c>
      <c r="BO121" s="48">
        <v>0</v>
      </c>
      <c r="BP121" s="49">
        <v>0</v>
      </c>
      <c r="BQ121" s="48">
        <v>0</v>
      </c>
      <c r="BR121" s="49">
        <v>0</v>
      </c>
      <c r="BS121" s="48">
        <v>0</v>
      </c>
      <c r="BT121" s="49">
        <v>0</v>
      </c>
      <c r="BU121" s="107">
        <v>0</v>
      </c>
      <c r="BV121" s="64">
        <v>0</v>
      </c>
      <c r="BW121" s="64">
        <v>74</v>
      </c>
      <c r="BX121" s="64" t="s">
        <v>963</v>
      </c>
      <c r="BY121" s="64"/>
      <c r="BZ121" s="64"/>
      <c r="CA121" s="64"/>
      <c r="CB121" s="64"/>
      <c r="CC121" s="64"/>
      <c r="CD121" s="64"/>
      <c r="CE121" s="64"/>
      <c r="CF121" s="64"/>
      <c r="CG121" s="64"/>
      <c r="CH121" s="64"/>
      <c r="CI121" s="64"/>
      <c r="CJ121" s="64"/>
      <c r="CK121" s="136" t="s">
        <v>1372</v>
      </c>
      <c r="CL121" s="64"/>
      <c r="CM121" s="136" t="s">
        <v>691</v>
      </c>
      <c r="CN121" s="64">
        <v>12006842</v>
      </c>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row>
    <row r="122" spans="1:128" ht="15">
      <c r="A122" s="62" t="s">
        <v>333</v>
      </c>
      <c r="B122" s="62" t="s">
        <v>963</v>
      </c>
      <c r="C122" s="78" t="s">
        <v>2239</v>
      </c>
      <c r="D122" s="84">
        <v>10</v>
      </c>
      <c r="E122" s="85" t="s">
        <v>135</v>
      </c>
      <c r="F122" s="86">
        <v>8.307692307692307</v>
      </c>
      <c r="G122" s="78"/>
      <c r="H122" s="70"/>
      <c r="I122" s="87"/>
      <c r="J122" s="87"/>
      <c r="K122" s="34" t="s">
        <v>65</v>
      </c>
      <c r="L122" s="103">
        <v>122</v>
      </c>
      <c r="M122" s="103"/>
      <c r="N122" s="89"/>
      <c r="O122" s="64" t="s">
        <v>968</v>
      </c>
      <c r="P122" s="110">
        <v>45177.07571759259</v>
      </c>
      <c r="Q122" s="64" t="s">
        <v>1057</v>
      </c>
      <c r="R122" s="111" t="str">
        <f>HYPERLINK("https://apnews.com/article/fd7a10eda44d0e3ddde582d4c7053eb6")</f>
        <v>https://apnews.com/article/fd7a10eda44d0e3ddde582d4c7053eb6</v>
      </c>
      <c r="S122" s="64" t="s">
        <v>1099</v>
      </c>
      <c r="T122" s="64"/>
      <c r="U122" s="110">
        <v>45177.07571759259</v>
      </c>
      <c r="V122" s="111" t="str">
        <f>HYPERLINK("https://twitter.com/jeremyhl/status/1699963020158369823")</f>
        <v>https://twitter.com/jeremyhl/status/1699963020158369823</v>
      </c>
      <c r="W122" s="64"/>
      <c r="X122" s="64"/>
      <c r="Y122" s="136" t="s">
        <v>1373</v>
      </c>
      <c r="Z122" s="64"/>
      <c r="AA122" s="104">
        <v>11</v>
      </c>
      <c r="AB122" s="105"/>
      <c r="AC122" s="106"/>
      <c r="AD122" s="105"/>
      <c r="AE122" s="106"/>
      <c r="AF122" s="105"/>
      <c r="AG122" s="106"/>
      <c r="AH122" s="48">
        <v>23</v>
      </c>
      <c r="AI122" s="49">
        <v>71.875</v>
      </c>
      <c r="AJ122" s="48">
        <v>32</v>
      </c>
      <c r="AK122" s="107"/>
      <c r="AL122" s="111" t="str">
        <f>HYPERLINK("https://pbs.twimg.com/profile_images/912667889395798022/pMoB2qc8_normal.jpg")</f>
        <v>https://pbs.twimg.com/profile_images/912667889395798022/pMoB2qc8_normal.jpg</v>
      </c>
      <c r="AM122" s="64"/>
      <c r="AN122" s="64">
        <v>0</v>
      </c>
      <c r="AO122" s="64"/>
      <c r="AP122" s="64"/>
      <c r="AQ122" s="64" t="s">
        <v>1154</v>
      </c>
      <c r="AR122" s="64" t="b">
        <v>0</v>
      </c>
      <c r="AS122" s="136" t="s">
        <v>691</v>
      </c>
      <c r="AT122" s="64"/>
      <c r="AU122" s="64">
        <v>0</v>
      </c>
      <c r="AV122" s="136" t="s">
        <v>691</v>
      </c>
      <c r="AW122" s="136" t="s">
        <v>1149</v>
      </c>
      <c r="AX122" s="64"/>
      <c r="AY122" s="136" t="s">
        <v>1373</v>
      </c>
      <c r="AZ122" s="64"/>
      <c r="BA122" s="64"/>
      <c r="BB122" s="64"/>
      <c r="BC122" s="64"/>
      <c r="BD122" s="64"/>
      <c r="BE122" s="64"/>
      <c r="BF122" s="64"/>
      <c r="BG122" s="64"/>
      <c r="BH122" s="64"/>
      <c r="BI122" s="64"/>
      <c r="BJ122" s="64"/>
      <c r="BK122" s="63" t="str">
        <f>REPLACE(INDEX(GroupVertices[Group],MATCH(Edges[[#This Row],[Vertex 1]],GroupVertices[Vertex],0)),1,1,"")</f>
        <v>2</v>
      </c>
      <c r="BL122" s="63" t="str">
        <f>REPLACE(INDEX(GroupVertices[Group],MATCH(Edges[[#This Row],[Vertex 2]],GroupVertices[Vertex],0)),1,1,"")</f>
        <v>2</v>
      </c>
      <c r="BM122" s="137">
        <v>45177</v>
      </c>
      <c r="BN122" s="138" t="s">
        <v>1250</v>
      </c>
      <c r="BO122" s="48">
        <v>0</v>
      </c>
      <c r="BP122" s="49">
        <v>0</v>
      </c>
      <c r="BQ122" s="48">
        <v>0</v>
      </c>
      <c r="BR122" s="49">
        <v>0</v>
      </c>
      <c r="BS122" s="48">
        <v>0</v>
      </c>
      <c r="BT122" s="49">
        <v>0</v>
      </c>
      <c r="BU122" s="107">
        <v>0</v>
      </c>
      <c r="BV122" s="64">
        <v>0</v>
      </c>
      <c r="BW122" s="64">
        <v>87</v>
      </c>
      <c r="BX122" s="64" t="s">
        <v>963</v>
      </c>
      <c r="BY122" s="64"/>
      <c r="BZ122" s="64"/>
      <c r="CA122" s="64"/>
      <c r="CB122" s="64"/>
      <c r="CC122" s="64"/>
      <c r="CD122" s="64"/>
      <c r="CE122" s="64"/>
      <c r="CF122" s="64"/>
      <c r="CG122" s="64"/>
      <c r="CH122" s="64"/>
      <c r="CI122" s="64"/>
      <c r="CJ122" s="64"/>
      <c r="CK122" s="136" t="s">
        <v>1373</v>
      </c>
      <c r="CL122" s="64"/>
      <c r="CM122" s="136" t="s">
        <v>691</v>
      </c>
      <c r="CN122" s="64">
        <v>12006842</v>
      </c>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row>
    <row r="123" spans="1:128" ht="15">
      <c r="A123" s="62" t="s">
        <v>333</v>
      </c>
      <c r="B123" s="62" t="s">
        <v>963</v>
      </c>
      <c r="C123" s="78" t="s">
        <v>2239</v>
      </c>
      <c r="D123" s="84">
        <v>10</v>
      </c>
      <c r="E123" s="85" t="s">
        <v>135</v>
      </c>
      <c r="F123" s="86">
        <v>8.307692307692307</v>
      </c>
      <c r="G123" s="78"/>
      <c r="H123" s="70"/>
      <c r="I123" s="87"/>
      <c r="J123" s="87"/>
      <c r="K123" s="34" t="s">
        <v>65</v>
      </c>
      <c r="L123" s="103">
        <v>123</v>
      </c>
      <c r="M123" s="103"/>
      <c r="N123" s="89"/>
      <c r="O123" s="64" t="s">
        <v>968</v>
      </c>
      <c r="P123" s="110">
        <v>45182.55731481482</v>
      </c>
      <c r="Q123" s="64" t="s">
        <v>1058</v>
      </c>
      <c r="R123" s="111" t="str">
        <f>HYPERLINK("https://apnews.com/article/b51b82309100f959c83a2a19536dc934")</f>
        <v>https://apnews.com/article/b51b82309100f959c83a2a19536dc934</v>
      </c>
      <c r="S123" s="64" t="s">
        <v>1099</v>
      </c>
      <c r="T123" s="136" t="s">
        <v>1082</v>
      </c>
      <c r="U123" s="110">
        <v>45182.55731481482</v>
      </c>
      <c r="V123" s="111" t="str">
        <f>HYPERLINK("https://twitter.com/jeremyhl/status/1701949485838897595")</f>
        <v>https://twitter.com/jeremyhl/status/1701949485838897595</v>
      </c>
      <c r="W123" s="64"/>
      <c r="X123" s="64"/>
      <c r="Y123" s="136" t="s">
        <v>1374</v>
      </c>
      <c r="Z123" s="64"/>
      <c r="AA123" s="104">
        <v>11</v>
      </c>
      <c r="AB123" s="105"/>
      <c r="AC123" s="106"/>
      <c r="AD123" s="105"/>
      <c r="AE123" s="106"/>
      <c r="AF123" s="105"/>
      <c r="AG123" s="106"/>
      <c r="AH123" s="48">
        <v>20</v>
      </c>
      <c r="AI123" s="49">
        <v>62.5</v>
      </c>
      <c r="AJ123" s="48">
        <v>32</v>
      </c>
      <c r="AK123" s="107"/>
      <c r="AL123" s="111" t="str">
        <f>HYPERLINK("https://pbs.twimg.com/profile_images/912667889395798022/pMoB2qc8_normal.jpg")</f>
        <v>https://pbs.twimg.com/profile_images/912667889395798022/pMoB2qc8_normal.jpg</v>
      </c>
      <c r="AM123" s="64"/>
      <c r="AN123" s="64">
        <v>0</v>
      </c>
      <c r="AO123" s="64"/>
      <c r="AP123" s="64"/>
      <c r="AQ123" s="64" t="s">
        <v>1154</v>
      </c>
      <c r="AR123" s="64" t="b">
        <v>0</v>
      </c>
      <c r="AS123" s="136" t="s">
        <v>691</v>
      </c>
      <c r="AT123" s="64"/>
      <c r="AU123" s="64">
        <v>0</v>
      </c>
      <c r="AV123" s="136" t="s">
        <v>691</v>
      </c>
      <c r="AW123" s="136" t="s">
        <v>1149</v>
      </c>
      <c r="AX123" s="64"/>
      <c r="AY123" s="136" t="s">
        <v>1374</v>
      </c>
      <c r="AZ123" s="64"/>
      <c r="BA123" s="64"/>
      <c r="BB123" s="64"/>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2</v>
      </c>
      <c r="BM123" s="137">
        <v>45182</v>
      </c>
      <c r="BN123" s="138" t="s">
        <v>1251</v>
      </c>
      <c r="BO123" s="48">
        <v>0</v>
      </c>
      <c r="BP123" s="49">
        <v>0</v>
      </c>
      <c r="BQ123" s="48">
        <v>0</v>
      </c>
      <c r="BR123" s="49">
        <v>0</v>
      </c>
      <c r="BS123" s="48">
        <v>0</v>
      </c>
      <c r="BT123" s="49">
        <v>0</v>
      </c>
      <c r="BU123" s="107">
        <v>0</v>
      </c>
      <c r="BV123" s="64">
        <v>0</v>
      </c>
      <c r="BW123" s="64">
        <v>55</v>
      </c>
      <c r="BX123" s="64" t="s">
        <v>963</v>
      </c>
      <c r="BY123" s="64"/>
      <c r="BZ123" s="64"/>
      <c r="CA123" s="64"/>
      <c r="CB123" s="64"/>
      <c r="CC123" s="64"/>
      <c r="CD123" s="64"/>
      <c r="CE123" s="64"/>
      <c r="CF123" s="64"/>
      <c r="CG123" s="64"/>
      <c r="CH123" s="64"/>
      <c r="CI123" s="64"/>
      <c r="CJ123" s="64"/>
      <c r="CK123" s="136" t="s">
        <v>1374</v>
      </c>
      <c r="CL123" s="64"/>
      <c r="CM123" s="136" t="s">
        <v>691</v>
      </c>
      <c r="CN123" s="64">
        <v>12006842</v>
      </c>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row>
    <row r="124" spans="1:128" ht="15">
      <c r="A124" s="62" t="s">
        <v>333</v>
      </c>
      <c r="B124" s="62" t="s">
        <v>963</v>
      </c>
      <c r="C124" s="78" t="s">
        <v>2239</v>
      </c>
      <c r="D124" s="84">
        <v>10</v>
      </c>
      <c r="E124" s="85" t="s">
        <v>135</v>
      </c>
      <c r="F124" s="86">
        <v>8.307692307692307</v>
      </c>
      <c r="G124" s="78"/>
      <c r="H124" s="70"/>
      <c r="I124" s="87"/>
      <c r="J124" s="87"/>
      <c r="K124" s="34" t="s">
        <v>65</v>
      </c>
      <c r="L124" s="103">
        <v>124</v>
      </c>
      <c r="M124" s="103"/>
      <c r="N124" s="89"/>
      <c r="O124" s="64" t="s">
        <v>968</v>
      </c>
      <c r="P124" s="110">
        <v>45177.54353009259</v>
      </c>
      <c r="Q124" s="64" t="s">
        <v>1059</v>
      </c>
      <c r="R124" s="111" t="str">
        <f>HYPERLINK("https://apnews.com/article/7382397136a285fd780f25f2fed16b9d")</f>
        <v>https://apnews.com/article/7382397136a285fd780f25f2fed16b9d</v>
      </c>
      <c r="S124" s="64" t="s">
        <v>1099</v>
      </c>
      <c r="T124" s="136" t="s">
        <v>1083</v>
      </c>
      <c r="U124" s="110">
        <v>45177.54353009259</v>
      </c>
      <c r="V124" s="111" t="str">
        <f>HYPERLINK("https://twitter.com/jeremyhl/status/1700132550557958526")</f>
        <v>https://twitter.com/jeremyhl/status/1700132550557958526</v>
      </c>
      <c r="W124" s="64"/>
      <c r="X124" s="64"/>
      <c r="Y124" s="136" t="s">
        <v>1375</v>
      </c>
      <c r="Z124" s="64"/>
      <c r="AA124" s="104">
        <v>11</v>
      </c>
      <c r="AB124" s="105"/>
      <c r="AC124" s="106"/>
      <c r="AD124" s="105"/>
      <c r="AE124" s="106"/>
      <c r="AF124" s="105"/>
      <c r="AG124" s="106"/>
      <c r="AH124" s="48">
        <v>24</v>
      </c>
      <c r="AI124" s="49">
        <v>57.142857142857146</v>
      </c>
      <c r="AJ124" s="48">
        <v>42</v>
      </c>
      <c r="AK124" s="107"/>
      <c r="AL124" s="111" t="str">
        <f>HYPERLINK("https://pbs.twimg.com/profile_images/912667889395798022/pMoB2qc8_normal.jpg")</f>
        <v>https://pbs.twimg.com/profile_images/912667889395798022/pMoB2qc8_normal.jpg</v>
      </c>
      <c r="AM124" s="64"/>
      <c r="AN124" s="64">
        <v>0</v>
      </c>
      <c r="AO124" s="64"/>
      <c r="AP124" s="64"/>
      <c r="AQ124" s="64" t="s">
        <v>1154</v>
      </c>
      <c r="AR124" s="64" t="b">
        <v>0</v>
      </c>
      <c r="AS124" s="136" t="s">
        <v>691</v>
      </c>
      <c r="AT124" s="64"/>
      <c r="AU124" s="64">
        <v>1</v>
      </c>
      <c r="AV124" s="136" t="s">
        <v>691</v>
      </c>
      <c r="AW124" s="136" t="s">
        <v>1149</v>
      </c>
      <c r="AX124" s="64"/>
      <c r="AY124" s="136" t="s">
        <v>1375</v>
      </c>
      <c r="AZ124" s="64"/>
      <c r="BA124" s="64"/>
      <c r="BB124" s="64"/>
      <c r="BC124" s="64"/>
      <c r="BD124" s="64"/>
      <c r="BE124" s="64"/>
      <c r="BF124" s="64"/>
      <c r="BG124" s="64"/>
      <c r="BH124" s="64"/>
      <c r="BI124" s="64"/>
      <c r="BJ124" s="64"/>
      <c r="BK124" s="63" t="str">
        <f>REPLACE(INDEX(GroupVertices[Group],MATCH(Edges[[#This Row],[Vertex 1]],GroupVertices[Vertex],0)),1,1,"")</f>
        <v>2</v>
      </c>
      <c r="BL124" s="63" t="str">
        <f>REPLACE(INDEX(GroupVertices[Group],MATCH(Edges[[#This Row],[Vertex 2]],GroupVertices[Vertex],0)),1,1,"")</f>
        <v>2</v>
      </c>
      <c r="BM124" s="137">
        <v>45177</v>
      </c>
      <c r="BN124" s="138" t="s">
        <v>1252</v>
      </c>
      <c r="BO124" s="48">
        <v>0</v>
      </c>
      <c r="BP124" s="49">
        <v>0</v>
      </c>
      <c r="BQ124" s="48">
        <v>0</v>
      </c>
      <c r="BR124" s="49">
        <v>0</v>
      </c>
      <c r="BS124" s="48">
        <v>0</v>
      </c>
      <c r="BT124" s="49">
        <v>0</v>
      </c>
      <c r="BU124" s="107">
        <v>0</v>
      </c>
      <c r="BV124" s="64">
        <v>0</v>
      </c>
      <c r="BW124" s="64">
        <v>45</v>
      </c>
      <c r="BX124" s="64" t="s">
        <v>963</v>
      </c>
      <c r="BY124" s="64"/>
      <c r="BZ124" s="64"/>
      <c r="CA124" s="64"/>
      <c r="CB124" s="64"/>
      <c r="CC124" s="64"/>
      <c r="CD124" s="64"/>
      <c r="CE124" s="64"/>
      <c r="CF124" s="64"/>
      <c r="CG124" s="64"/>
      <c r="CH124" s="64"/>
      <c r="CI124" s="64"/>
      <c r="CJ124" s="64"/>
      <c r="CK124" s="136" t="s">
        <v>1375</v>
      </c>
      <c r="CL124" s="64"/>
      <c r="CM124" s="136" t="s">
        <v>691</v>
      </c>
      <c r="CN124" s="64">
        <v>12006842</v>
      </c>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row>
    <row r="125" spans="1:128" ht="15">
      <c r="A125" s="62" t="s">
        <v>333</v>
      </c>
      <c r="B125" s="62" t="s">
        <v>963</v>
      </c>
      <c r="C125" s="78" t="s">
        <v>2239</v>
      </c>
      <c r="D125" s="84">
        <v>10</v>
      </c>
      <c r="E125" s="85" t="s">
        <v>135</v>
      </c>
      <c r="F125" s="86">
        <v>8.307692307692307</v>
      </c>
      <c r="G125" s="78"/>
      <c r="H125" s="70"/>
      <c r="I125" s="87"/>
      <c r="J125" s="87"/>
      <c r="K125" s="34" t="s">
        <v>65</v>
      </c>
      <c r="L125" s="103">
        <v>125</v>
      </c>
      <c r="M125" s="103"/>
      <c r="N125" s="89"/>
      <c r="O125" s="64" t="s">
        <v>968</v>
      </c>
      <c r="P125" s="110">
        <v>45177.54177083333</v>
      </c>
      <c r="Q125" s="64" t="s">
        <v>1060</v>
      </c>
      <c r="R125" s="111" t="str">
        <f>HYPERLINK("https://apnews.com/article/792cbae3e651d31028ae2c64f65f112c")</f>
        <v>https://apnews.com/article/792cbae3e651d31028ae2c64f65f112c</v>
      </c>
      <c r="S125" s="64" t="s">
        <v>1099</v>
      </c>
      <c r="T125" s="136" t="s">
        <v>1084</v>
      </c>
      <c r="U125" s="110">
        <v>45177.54177083333</v>
      </c>
      <c r="V125" s="111" t="str">
        <f>HYPERLINK("https://twitter.com/jeremyhl/status/1700131911056699586")</f>
        <v>https://twitter.com/jeremyhl/status/1700131911056699586</v>
      </c>
      <c r="W125" s="64"/>
      <c r="X125" s="64"/>
      <c r="Y125" s="136" t="s">
        <v>1376</v>
      </c>
      <c r="Z125" s="64"/>
      <c r="AA125" s="104">
        <v>11</v>
      </c>
      <c r="AB125" s="105"/>
      <c r="AC125" s="106"/>
      <c r="AD125" s="105"/>
      <c r="AE125" s="106"/>
      <c r="AF125" s="105"/>
      <c r="AG125" s="106"/>
      <c r="AH125" s="48">
        <v>24</v>
      </c>
      <c r="AI125" s="49">
        <v>60</v>
      </c>
      <c r="AJ125" s="48">
        <v>40</v>
      </c>
      <c r="AK125" s="107"/>
      <c r="AL125" s="111" t="str">
        <f>HYPERLINK("https://pbs.twimg.com/profile_images/912667889395798022/pMoB2qc8_normal.jpg")</f>
        <v>https://pbs.twimg.com/profile_images/912667889395798022/pMoB2qc8_normal.jpg</v>
      </c>
      <c r="AM125" s="64"/>
      <c r="AN125" s="64">
        <v>0</v>
      </c>
      <c r="AO125" s="64"/>
      <c r="AP125" s="64"/>
      <c r="AQ125" s="64" t="s">
        <v>1154</v>
      </c>
      <c r="AR125" s="64" t="b">
        <v>0</v>
      </c>
      <c r="AS125" s="136" t="s">
        <v>691</v>
      </c>
      <c r="AT125" s="64"/>
      <c r="AU125" s="64">
        <v>1</v>
      </c>
      <c r="AV125" s="136" t="s">
        <v>691</v>
      </c>
      <c r="AW125" s="136" t="s">
        <v>1149</v>
      </c>
      <c r="AX125" s="64"/>
      <c r="AY125" s="136" t="s">
        <v>1376</v>
      </c>
      <c r="AZ125" s="64"/>
      <c r="BA125" s="64"/>
      <c r="BB125" s="64"/>
      <c r="BC125" s="64"/>
      <c r="BD125" s="64"/>
      <c r="BE125" s="64"/>
      <c r="BF125" s="64"/>
      <c r="BG125" s="64"/>
      <c r="BH125" s="64"/>
      <c r="BI125" s="64"/>
      <c r="BJ125" s="64"/>
      <c r="BK125" s="63" t="str">
        <f>REPLACE(INDEX(GroupVertices[Group],MATCH(Edges[[#This Row],[Vertex 1]],GroupVertices[Vertex],0)),1,1,"")</f>
        <v>2</v>
      </c>
      <c r="BL125" s="63" t="str">
        <f>REPLACE(INDEX(GroupVertices[Group],MATCH(Edges[[#This Row],[Vertex 2]],GroupVertices[Vertex],0)),1,1,"")</f>
        <v>2</v>
      </c>
      <c r="BM125" s="137">
        <v>45177</v>
      </c>
      <c r="BN125" s="138" t="s">
        <v>1253</v>
      </c>
      <c r="BO125" s="48">
        <v>0</v>
      </c>
      <c r="BP125" s="49">
        <v>0</v>
      </c>
      <c r="BQ125" s="48">
        <v>0</v>
      </c>
      <c r="BR125" s="49">
        <v>0</v>
      </c>
      <c r="BS125" s="48">
        <v>0</v>
      </c>
      <c r="BT125" s="49">
        <v>0</v>
      </c>
      <c r="BU125" s="107">
        <v>0</v>
      </c>
      <c r="BV125" s="64">
        <v>0</v>
      </c>
      <c r="BW125" s="64">
        <v>43</v>
      </c>
      <c r="BX125" s="64" t="s">
        <v>963</v>
      </c>
      <c r="BY125" s="64"/>
      <c r="BZ125" s="64"/>
      <c r="CA125" s="64"/>
      <c r="CB125" s="64"/>
      <c r="CC125" s="64"/>
      <c r="CD125" s="64"/>
      <c r="CE125" s="64"/>
      <c r="CF125" s="64"/>
      <c r="CG125" s="64"/>
      <c r="CH125" s="64"/>
      <c r="CI125" s="64"/>
      <c r="CJ125" s="64"/>
      <c r="CK125" s="136" t="s">
        <v>1376</v>
      </c>
      <c r="CL125" s="64"/>
      <c r="CM125" s="136" t="s">
        <v>691</v>
      </c>
      <c r="CN125" s="64">
        <v>12006842</v>
      </c>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row>
    <row r="126" spans="1:128" ht="15">
      <c r="A126" s="62" t="s">
        <v>333</v>
      </c>
      <c r="B126" s="62" t="s">
        <v>963</v>
      </c>
      <c r="C126" s="78" t="s">
        <v>2239</v>
      </c>
      <c r="D126" s="84">
        <v>10</v>
      </c>
      <c r="E126" s="85" t="s">
        <v>135</v>
      </c>
      <c r="F126" s="86">
        <v>8.307692307692307</v>
      </c>
      <c r="G126" s="78"/>
      <c r="H126" s="70"/>
      <c r="I126" s="87"/>
      <c r="J126" s="87"/>
      <c r="K126" s="34" t="s">
        <v>65</v>
      </c>
      <c r="L126" s="103">
        <v>126</v>
      </c>
      <c r="M126" s="103"/>
      <c r="N126" s="89"/>
      <c r="O126" s="64" t="s">
        <v>968</v>
      </c>
      <c r="P126" s="110">
        <v>45178.5303587963</v>
      </c>
      <c r="Q126" s="64" t="s">
        <v>1061</v>
      </c>
      <c r="R126" s="111" t="str">
        <f>HYPERLINK("https://apnews.com/article/6322aae981bdc5c9009babde4b31ab60")</f>
        <v>https://apnews.com/article/6322aae981bdc5c9009babde4b31ab60</v>
      </c>
      <c r="S126" s="64" t="s">
        <v>1099</v>
      </c>
      <c r="T126" s="136" t="s">
        <v>1077</v>
      </c>
      <c r="U126" s="110">
        <v>45178.5303587963</v>
      </c>
      <c r="V126" s="111" t="str">
        <f>HYPERLINK("https://twitter.com/jeremyhl/status/1700490163137233267")</f>
        <v>https://twitter.com/jeremyhl/status/1700490163137233267</v>
      </c>
      <c r="W126" s="64"/>
      <c r="X126" s="64"/>
      <c r="Y126" s="136" t="s">
        <v>1377</v>
      </c>
      <c r="Z126" s="64"/>
      <c r="AA126" s="104">
        <v>11</v>
      </c>
      <c r="AB126" s="105"/>
      <c r="AC126" s="106"/>
      <c r="AD126" s="105"/>
      <c r="AE126" s="106"/>
      <c r="AF126" s="105"/>
      <c r="AG126" s="106"/>
      <c r="AH126" s="48">
        <v>27</v>
      </c>
      <c r="AI126" s="49">
        <v>81.81818181818181</v>
      </c>
      <c r="AJ126" s="48">
        <v>33</v>
      </c>
      <c r="AK126" s="107"/>
      <c r="AL126" s="111" t="str">
        <f>HYPERLINK("https://pbs.twimg.com/profile_images/912667889395798022/pMoB2qc8_normal.jpg")</f>
        <v>https://pbs.twimg.com/profile_images/912667889395798022/pMoB2qc8_normal.jpg</v>
      </c>
      <c r="AM126" s="64"/>
      <c r="AN126" s="64">
        <v>1</v>
      </c>
      <c r="AO126" s="64"/>
      <c r="AP126" s="64"/>
      <c r="AQ126" s="64" t="s">
        <v>1154</v>
      </c>
      <c r="AR126" s="64" t="b">
        <v>0</v>
      </c>
      <c r="AS126" s="136" t="s">
        <v>691</v>
      </c>
      <c r="AT126" s="64"/>
      <c r="AU126" s="64">
        <v>0</v>
      </c>
      <c r="AV126" s="136" t="s">
        <v>691</v>
      </c>
      <c r="AW126" s="136" t="s">
        <v>1149</v>
      </c>
      <c r="AX126" s="64"/>
      <c r="AY126" s="136" t="s">
        <v>1377</v>
      </c>
      <c r="AZ126" s="64"/>
      <c r="BA126" s="64"/>
      <c r="BB126" s="64"/>
      <c r="BC126" s="64"/>
      <c r="BD126" s="64"/>
      <c r="BE126" s="64"/>
      <c r="BF126" s="64"/>
      <c r="BG126" s="64"/>
      <c r="BH126" s="64"/>
      <c r="BI126" s="64"/>
      <c r="BJ126" s="64"/>
      <c r="BK126" s="63" t="str">
        <f>REPLACE(INDEX(GroupVertices[Group],MATCH(Edges[[#This Row],[Vertex 1]],GroupVertices[Vertex],0)),1,1,"")</f>
        <v>2</v>
      </c>
      <c r="BL126" s="63" t="str">
        <f>REPLACE(INDEX(GroupVertices[Group],MATCH(Edges[[#This Row],[Vertex 2]],GroupVertices[Vertex],0)),1,1,"")</f>
        <v>2</v>
      </c>
      <c r="BM126" s="137">
        <v>45178</v>
      </c>
      <c r="BN126" s="138" t="s">
        <v>1254</v>
      </c>
      <c r="BO126" s="48">
        <v>0</v>
      </c>
      <c r="BP126" s="49">
        <v>0</v>
      </c>
      <c r="BQ126" s="48">
        <v>0</v>
      </c>
      <c r="BR126" s="49">
        <v>0</v>
      </c>
      <c r="BS126" s="48">
        <v>0</v>
      </c>
      <c r="BT126" s="49">
        <v>0</v>
      </c>
      <c r="BU126" s="107">
        <v>0</v>
      </c>
      <c r="BV126" s="64">
        <v>0</v>
      </c>
      <c r="BW126" s="64">
        <v>52</v>
      </c>
      <c r="BX126" s="64" t="s">
        <v>963</v>
      </c>
      <c r="BY126" s="64"/>
      <c r="BZ126" s="64"/>
      <c r="CA126" s="64"/>
      <c r="CB126" s="64"/>
      <c r="CC126" s="64"/>
      <c r="CD126" s="64"/>
      <c r="CE126" s="64"/>
      <c r="CF126" s="64"/>
      <c r="CG126" s="64"/>
      <c r="CH126" s="64"/>
      <c r="CI126" s="64"/>
      <c r="CJ126" s="64"/>
      <c r="CK126" s="136" t="s">
        <v>1377</v>
      </c>
      <c r="CL126" s="64"/>
      <c r="CM126" s="136" t="s">
        <v>691</v>
      </c>
      <c r="CN126" s="64">
        <v>12006842</v>
      </c>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row>
    <row r="127" spans="1:128" ht="15">
      <c r="A127" s="62" t="s">
        <v>333</v>
      </c>
      <c r="B127" s="62" t="s">
        <v>333</v>
      </c>
      <c r="C127" s="78" t="s">
        <v>900</v>
      </c>
      <c r="D127" s="84">
        <v>7.5</v>
      </c>
      <c r="E127" s="85" t="s">
        <v>135</v>
      </c>
      <c r="F127" s="86">
        <v>15.23076923076923</v>
      </c>
      <c r="G127" s="78"/>
      <c r="H127" s="70"/>
      <c r="I127" s="87"/>
      <c r="J127" s="87"/>
      <c r="K127" s="34" t="s">
        <v>65</v>
      </c>
      <c r="L127" s="103">
        <v>127</v>
      </c>
      <c r="M127" s="103"/>
      <c r="N127" s="89"/>
      <c r="O127" s="64" t="s">
        <v>183</v>
      </c>
      <c r="P127" s="110">
        <v>45182.51373842593</v>
      </c>
      <c r="Q127" s="64" t="s">
        <v>1062</v>
      </c>
      <c r="R127" s="111" t="str">
        <f>HYPERLINK("https://nebraskaexaminer.com/2023/09/13/it-ended-up-being-racist-teacher-describes-resignation-from-crete-public-schools/")</f>
        <v>https://nebraskaexaminer.com/2023/09/13/it-ended-up-being-racist-teacher-describes-resignation-from-crete-public-schools/</v>
      </c>
      <c r="S127" s="64" t="s">
        <v>1100</v>
      </c>
      <c r="T127" s="64"/>
      <c r="U127" s="110">
        <v>45182.51373842593</v>
      </c>
      <c r="V127" s="111" t="str">
        <f>HYPERLINK("https://twitter.com/jeremyhl/status/1701933692657061980")</f>
        <v>https://twitter.com/jeremyhl/status/1701933692657061980</v>
      </c>
      <c r="W127" s="64"/>
      <c r="X127" s="64"/>
      <c r="Y127" s="136" t="s">
        <v>1378</v>
      </c>
      <c r="Z127" s="64"/>
      <c r="AA127" s="104">
        <v>2</v>
      </c>
      <c r="AB127" s="105"/>
      <c r="AC127" s="106"/>
      <c r="AD127" s="105"/>
      <c r="AE127" s="106"/>
      <c r="AF127" s="105"/>
      <c r="AG127" s="106"/>
      <c r="AH127" s="48">
        <v>17</v>
      </c>
      <c r="AI127" s="49">
        <v>60.714285714285715</v>
      </c>
      <c r="AJ127" s="48">
        <v>28</v>
      </c>
      <c r="AK127" s="107"/>
      <c r="AL127" s="111" t="str">
        <f>HYPERLINK("https://pbs.twimg.com/profile_images/912667889395798022/pMoB2qc8_normal.jpg")</f>
        <v>https://pbs.twimg.com/profile_images/912667889395798022/pMoB2qc8_normal.jpg</v>
      </c>
      <c r="AM127" s="64"/>
      <c r="AN127" s="64">
        <v>0</v>
      </c>
      <c r="AO127" s="64"/>
      <c r="AP127" s="64"/>
      <c r="AQ127" s="64" t="s">
        <v>1154</v>
      </c>
      <c r="AR127" s="64" t="b">
        <v>0</v>
      </c>
      <c r="AS127" s="136" t="s">
        <v>691</v>
      </c>
      <c r="AT127" s="64"/>
      <c r="AU127" s="64">
        <v>1</v>
      </c>
      <c r="AV127" s="136" t="s">
        <v>691</v>
      </c>
      <c r="AW127" s="136" t="s">
        <v>1149</v>
      </c>
      <c r="AX127" s="64"/>
      <c r="AY127" s="136" t="s">
        <v>1378</v>
      </c>
      <c r="AZ127" s="64"/>
      <c r="BA127" s="64"/>
      <c r="BB127" s="64"/>
      <c r="BC127" s="64"/>
      <c r="BD127" s="64"/>
      <c r="BE127" s="64"/>
      <c r="BF127" s="64"/>
      <c r="BG127" s="64"/>
      <c r="BH127" s="64"/>
      <c r="BI127" s="64"/>
      <c r="BJ127" s="64"/>
      <c r="BK127" s="63" t="str">
        <f>REPLACE(INDEX(GroupVertices[Group],MATCH(Edges[[#This Row],[Vertex 1]],GroupVertices[Vertex],0)),1,1,"")</f>
        <v>2</v>
      </c>
      <c r="BL127" s="63" t="str">
        <f>REPLACE(INDEX(GroupVertices[Group],MATCH(Edges[[#This Row],[Vertex 2]],GroupVertices[Vertex],0)),1,1,"")</f>
        <v>2</v>
      </c>
      <c r="BM127" s="137">
        <v>45182</v>
      </c>
      <c r="BN127" s="138" t="s">
        <v>1255</v>
      </c>
      <c r="BO127" s="48">
        <v>0</v>
      </c>
      <c r="BP127" s="49">
        <v>0</v>
      </c>
      <c r="BQ127" s="48">
        <v>0</v>
      </c>
      <c r="BR127" s="49">
        <v>0</v>
      </c>
      <c r="BS127" s="48">
        <v>0</v>
      </c>
      <c r="BT127" s="49">
        <v>0</v>
      </c>
      <c r="BU127" s="107">
        <v>0</v>
      </c>
      <c r="BV127" s="64">
        <v>0</v>
      </c>
      <c r="BW127" s="64">
        <v>53</v>
      </c>
      <c r="BX127" s="64"/>
      <c r="BY127" s="64"/>
      <c r="BZ127" s="64"/>
      <c r="CA127" s="64"/>
      <c r="CB127" s="64"/>
      <c r="CC127" s="64"/>
      <c r="CD127" s="64"/>
      <c r="CE127" s="64"/>
      <c r="CF127" s="64"/>
      <c r="CG127" s="64"/>
      <c r="CH127" s="64"/>
      <c r="CI127" s="64"/>
      <c r="CJ127" s="64"/>
      <c r="CK127" s="136" t="s">
        <v>1378</v>
      </c>
      <c r="CL127" s="64"/>
      <c r="CM127" s="136" t="s">
        <v>691</v>
      </c>
      <c r="CN127" s="64">
        <v>12006842</v>
      </c>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row>
    <row r="128" spans="1:128" ht="15">
      <c r="A128" s="62" t="s">
        <v>333</v>
      </c>
      <c r="B128" s="62" t="s">
        <v>333</v>
      </c>
      <c r="C128" s="78" t="s">
        <v>900</v>
      </c>
      <c r="D128" s="84">
        <v>7.5</v>
      </c>
      <c r="E128" s="85" t="s">
        <v>135</v>
      </c>
      <c r="F128" s="86">
        <v>15.23076923076923</v>
      </c>
      <c r="G128" s="78"/>
      <c r="H128" s="70"/>
      <c r="I128" s="87"/>
      <c r="J128" s="87"/>
      <c r="K128" s="34" t="s">
        <v>65</v>
      </c>
      <c r="L128" s="103">
        <v>128</v>
      </c>
      <c r="M128" s="103"/>
      <c r="N128" s="89"/>
      <c r="O128" s="64" t="s">
        <v>183</v>
      </c>
      <c r="P128" s="110">
        <v>45181.062893518516</v>
      </c>
      <c r="Q128" s="64" t="s">
        <v>1063</v>
      </c>
      <c r="R128" s="111" t="str">
        <f>HYPERLINK("https://www.linkedin.com/pulse/beth-trejo-social-media-search-jeremy-harris-lipschultz")</f>
        <v>https://www.linkedin.com/pulse/beth-trejo-social-media-search-jeremy-harris-lipschultz</v>
      </c>
      <c r="S128" s="64" t="s">
        <v>1101</v>
      </c>
      <c r="T128" s="136" t="s">
        <v>1077</v>
      </c>
      <c r="U128" s="110">
        <v>45181.062893518516</v>
      </c>
      <c r="V128" s="111" t="str">
        <f>HYPERLINK("https://twitter.com/jeremyhl/status/1701407923035947298")</f>
        <v>https://twitter.com/jeremyhl/status/1701407923035947298</v>
      </c>
      <c r="W128" s="64"/>
      <c r="X128" s="64"/>
      <c r="Y128" s="136" t="s">
        <v>1379</v>
      </c>
      <c r="Z128" s="64"/>
      <c r="AA128" s="104">
        <v>2</v>
      </c>
      <c r="AB128" s="105"/>
      <c r="AC128" s="106"/>
      <c r="AD128" s="105"/>
      <c r="AE128" s="106"/>
      <c r="AF128" s="105"/>
      <c r="AG128" s="106"/>
      <c r="AH128" s="48">
        <v>7</v>
      </c>
      <c r="AI128" s="49">
        <v>87.5</v>
      </c>
      <c r="AJ128" s="48">
        <v>8</v>
      </c>
      <c r="AK128" s="107" t="s">
        <v>1141</v>
      </c>
      <c r="AL128" s="111" t="str">
        <f>HYPERLINK("https://pbs.twimg.com/media/F5ydfMwXYAAjcbv.jpg")</f>
        <v>https://pbs.twimg.com/media/F5ydfMwXYAAjcbv.jpg</v>
      </c>
      <c r="AM128" s="64"/>
      <c r="AN128" s="64">
        <v>0</v>
      </c>
      <c r="AO128" s="64"/>
      <c r="AP128" s="64"/>
      <c r="AQ128" s="64" t="s">
        <v>1154</v>
      </c>
      <c r="AR128" s="64" t="b">
        <v>0</v>
      </c>
      <c r="AS128" s="136" t="s">
        <v>691</v>
      </c>
      <c r="AT128" s="64"/>
      <c r="AU128" s="64">
        <v>0</v>
      </c>
      <c r="AV128" s="136" t="s">
        <v>691</v>
      </c>
      <c r="AW128" s="136" t="s">
        <v>1149</v>
      </c>
      <c r="AX128" s="64"/>
      <c r="AY128" s="136" t="s">
        <v>1379</v>
      </c>
      <c r="AZ128" s="64"/>
      <c r="BA128" s="64"/>
      <c r="BB128" s="64"/>
      <c r="BC128" s="64"/>
      <c r="BD128" s="64"/>
      <c r="BE128" s="64"/>
      <c r="BF128" s="64"/>
      <c r="BG128" s="64"/>
      <c r="BH128" s="64"/>
      <c r="BI128" s="64"/>
      <c r="BJ128" s="64"/>
      <c r="BK128" s="63" t="str">
        <f>REPLACE(INDEX(GroupVertices[Group],MATCH(Edges[[#This Row],[Vertex 1]],GroupVertices[Vertex],0)),1,1,"")</f>
        <v>2</v>
      </c>
      <c r="BL128" s="63" t="str">
        <f>REPLACE(INDEX(GroupVertices[Group],MATCH(Edges[[#This Row],[Vertex 2]],GroupVertices[Vertex],0)),1,1,"")</f>
        <v>2</v>
      </c>
      <c r="BM128" s="137">
        <v>45181</v>
      </c>
      <c r="BN128" s="138" t="s">
        <v>1256</v>
      </c>
      <c r="BO128" s="48">
        <v>0</v>
      </c>
      <c r="BP128" s="49">
        <v>0</v>
      </c>
      <c r="BQ128" s="48">
        <v>0</v>
      </c>
      <c r="BR128" s="49">
        <v>0</v>
      </c>
      <c r="BS128" s="48">
        <v>0</v>
      </c>
      <c r="BT128" s="49">
        <v>0</v>
      </c>
      <c r="BU128" s="107">
        <v>0</v>
      </c>
      <c r="BV128" s="64">
        <v>0</v>
      </c>
      <c r="BW128" s="64">
        <v>71</v>
      </c>
      <c r="BX128" s="64"/>
      <c r="BY128" s="64"/>
      <c r="BZ128" s="64" t="s">
        <v>1142</v>
      </c>
      <c r="CA128" s="64"/>
      <c r="CB128" s="64"/>
      <c r="CC128" s="64"/>
      <c r="CD128" s="64" t="s">
        <v>1282</v>
      </c>
      <c r="CE128" s="64"/>
      <c r="CF128" s="64"/>
      <c r="CG128" s="64"/>
      <c r="CH128" s="64"/>
      <c r="CI128" s="64"/>
      <c r="CJ128" s="64"/>
      <c r="CK128" s="136" t="s">
        <v>1379</v>
      </c>
      <c r="CL128" s="64"/>
      <c r="CM128" s="136" t="s">
        <v>691</v>
      </c>
      <c r="CN128" s="64">
        <v>12006842</v>
      </c>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row>
    <row r="129" spans="1:128" ht="15">
      <c r="A129" s="62" t="s">
        <v>937</v>
      </c>
      <c r="B129" s="62" t="s">
        <v>937</v>
      </c>
      <c r="C129" s="78" t="s">
        <v>714</v>
      </c>
      <c r="D129" s="84">
        <v>5</v>
      </c>
      <c r="E129" s="85" t="s">
        <v>131</v>
      </c>
      <c r="F129" s="86">
        <v>16</v>
      </c>
      <c r="G129" s="78"/>
      <c r="H129" s="70"/>
      <c r="I129" s="87"/>
      <c r="J129" s="87"/>
      <c r="K129" s="34" t="s">
        <v>65</v>
      </c>
      <c r="L129" s="103">
        <v>129</v>
      </c>
      <c r="M129" s="103"/>
      <c r="N129" s="89"/>
      <c r="O129" s="64" t="s">
        <v>183</v>
      </c>
      <c r="P129" s="110">
        <v>45179.81994212963</v>
      </c>
      <c r="Q129" s="64" t="s">
        <v>1064</v>
      </c>
      <c r="R129" s="64"/>
      <c r="S129" s="64"/>
      <c r="T129" s="64"/>
      <c r="U129" s="110">
        <v>45179.81994212963</v>
      </c>
      <c r="V129" s="111" t="str">
        <f>HYPERLINK("https://twitter.com/jl_chapman/status/1700957494732849260")</f>
        <v>https://twitter.com/jl_chapman/status/1700957494732849260</v>
      </c>
      <c r="W129" s="64"/>
      <c r="X129" s="64"/>
      <c r="Y129" s="136" t="s">
        <v>1380</v>
      </c>
      <c r="Z129" s="64"/>
      <c r="AA129" s="104">
        <v>1</v>
      </c>
      <c r="AB129" s="105"/>
      <c r="AC129" s="106"/>
      <c r="AD129" s="105"/>
      <c r="AE129" s="106"/>
      <c r="AF129" s="105"/>
      <c r="AG129" s="106"/>
      <c r="AH129" s="48">
        <v>8</v>
      </c>
      <c r="AI129" s="49">
        <v>72.72727272727273</v>
      </c>
      <c r="AJ129" s="48">
        <v>11</v>
      </c>
      <c r="AK129" s="107" t="s">
        <v>1125</v>
      </c>
      <c r="AL129" s="111" t="str">
        <f>HYPERLINK("https://pbs.twimg.com/media/F5rsW9zWkAA3rjG.jpg")</f>
        <v>https://pbs.twimg.com/media/F5rsW9zWkAA3rjG.jpg</v>
      </c>
      <c r="AM129" s="64"/>
      <c r="AN129" s="64">
        <v>7968</v>
      </c>
      <c r="AO129" s="64"/>
      <c r="AP129" s="64"/>
      <c r="AQ129" s="64" t="s">
        <v>1154</v>
      </c>
      <c r="AR129" s="64" t="b">
        <v>0</v>
      </c>
      <c r="AS129" s="136" t="s">
        <v>691</v>
      </c>
      <c r="AT129" s="64"/>
      <c r="AU129" s="64">
        <v>1183</v>
      </c>
      <c r="AV129" s="136" t="s">
        <v>691</v>
      </c>
      <c r="AW129" s="136" t="s">
        <v>1149</v>
      </c>
      <c r="AX129" s="64"/>
      <c r="AY129" s="136" t="s">
        <v>1380</v>
      </c>
      <c r="AZ129" s="64"/>
      <c r="BA129" s="64"/>
      <c r="BB129" s="64"/>
      <c r="BC129" s="64"/>
      <c r="BD129" s="64"/>
      <c r="BE129" s="64"/>
      <c r="BF129" s="64"/>
      <c r="BG129" s="64"/>
      <c r="BH129" s="64"/>
      <c r="BI129" s="64"/>
      <c r="BJ129" s="64"/>
      <c r="BK129" s="63" t="str">
        <f>REPLACE(INDEX(GroupVertices[Group],MATCH(Edges[[#This Row],[Vertex 1]],GroupVertices[Vertex],0)),1,1,"")</f>
        <v>4</v>
      </c>
      <c r="BL129" s="63" t="str">
        <f>REPLACE(INDEX(GroupVertices[Group],MATCH(Edges[[#This Row],[Vertex 2]],GroupVertices[Vertex],0)),1,1,"")</f>
        <v>4</v>
      </c>
      <c r="BM129" s="137">
        <v>45179</v>
      </c>
      <c r="BN129" s="138" t="s">
        <v>1257</v>
      </c>
      <c r="BO129" s="48">
        <v>0</v>
      </c>
      <c r="BP129" s="49">
        <v>0</v>
      </c>
      <c r="BQ129" s="48">
        <v>0</v>
      </c>
      <c r="BR129" s="49">
        <v>0</v>
      </c>
      <c r="BS129" s="48">
        <v>0</v>
      </c>
      <c r="BT129" s="49">
        <v>0</v>
      </c>
      <c r="BU129" s="107">
        <v>134</v>
      </c>
      <c r="BV129" s="64">
        <v>148</v>
      </c>
      <c r="BW129" s="64">
        <v>352555</v>
      </c>
      <c r="BX129" s="64"/>
      <c r="BY129" s="64"/>
      <c r="BZ129" s="64" t="s">
        <v>1144</v>
      </c>
      <c r="CA129" s="64"/>
      <c r="CB129" s="64"/>
      <c r="CC129" s="64"/>
      <c r="CD129" s="64" t="s">
        <v>1266</v>
      </c>
      <c r="CE129" s="64">
        <v>10347</v>
      </c>
      <c r="CF129" s="64"/>
      <c r="CG129" s="64"/>
      <c r="CH129" s="64">
        <v>255026</v>
      </c>
      <c r="CI129" s="64"/>
      <c r="CJ129" s="64"/>
      <c r="CK129" s="136" t="s">
        <v>1380</v>
      </c>
      <c r="CL129" s="64"/>
      <c r="CM129" s="136" t="s">
        <v>691</v>
      </c>
      <c r="CN129" s="64">
        <v>226221523</v>
      </c>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row>
    <row r="130" spans="1:128" ht="15">
      <c r="A130" s="62" t="s">
        <v>938</v>
      </c>
      <c r="B130" s="62" t="s">
        <v>938</v>
      </c>
      <c r="C130" s="78" t="s">
        <v>714</v>
      </c>
      <c r="D130" s="84">
        <v>5</v>
      </c>
      <c r="E130" s="85" t="s">
        <v>131</v>
      </c>
      <c r="F130" s="86">
        <v>16</v>
      </c>
      <c r="G130" s="78"/>
      <c r="H130" s="70"/>
      <c r="I130" s="87"/>
      <c r="J130" s="87"/>
      <c r="K130" s="34" t="s">
        <v>65</v>
      </c>
      <c r="L130" s="103">
        <v>130</v>
      </c>
      <c r="M130" s="103"/>
      <c r="N130" s="89"/>
      <c r="O130" s="64" t="s">
        <v>183</v>
      </c>
      <c r="P130" s="110">
        <v>45180.62337962963</v>
      </c>
      <c r="Q130" s="64" t="s">
        <v>1065</v>
      </c>
      <c r="R130" s="64"/>
      <c r="S130" s="64"/>
      <c r="T130" s="64"/>
      <c r="U130" s="110">
        <v>45180.62337962963</v>
      </c>
      <c r="V130" s="111" t="str">
        <f>HYPERLINK("https://twitter.com/popculture2000s/status/1701248650020532481")</f>
        <v>https://twitter.com/popculture2000s/status/1701248650020532481</v>
      </c>
      <c r="W130" s="64"/>
      <c r="X130" s="64"/>
      <c r="Y130" s="136" t="s">
        <v>1381</v>
      </c>
      <c r="Z130" s="64"/>
      <c r="AA130" s="104">
        <v>1</v>
      </c>
      <c r="AB130" s="105"/>
      <c r="AC130" s="106"/>
      <c r="AD130" s="105"/>
      <c r="AE130" s="106"/>
      <c r="AF130" s="105"/>
      <c r="AG130" s="106"/>
      <c r="AH130" s="48">
        <v>4</v>
      </c>
      <c r="AI130" s="49">
        <v>100</v>
      </c>
      <c r="AJ130" s="48">
        <v>4</v>
      </c>
      <c r="AK130" s="107" t="s">
        <v>1120</v>
      </c>
      <c r="AL130" s="111" t="str">
        <f>HYPERLINK("https://pbs.twimg.com/media/F5wMoS_WgAAwk_H.jpg")</f>
        <v>https://pbs.twimg.com/media/F5wMoS_WgAAwk_H.jpg</v>
      </c>
      <c r="AM130" s="64"/>
      <c r="AN130" s="64">
        <v>157314</v>
      </c>
      <c r="AO130" s="64"/>
      <c r="AP130" s="64"/>
      <c r="AQ130" s="64" t="s">
        <v>1154</v>
      </c>
      <c r="AR130" s="64" t="b">
        <v>0</v>
      </c>
      <c r="AS130" s="136" t="s">
        <v>691</v>
      </c>
      <c r="AT130" s="64"/>
      <c r="AU130" s="64">
        <v>44874</v>
      </c>
      <c r="AV130" s="136" t="s">
        <v>691</v>
      </c>
      <c r="AW130" s="136" t="s">
        <v>1149</v>
      </c>
      <c r="AX130" s="64"/>
      <c r="AY130" s="136" t="s">
        <v>1381</v>
      </c>
      <c r="AZ130" s="64"/>
      <c r="BA130" s="64"/>
      <c r="BB130" s="64"/>
      <c r="BC130" s="64"/>
      <c r="BD130" s="64"/>
      <c r="BE130" s="64"/>
      <c r="BF130" s="64"/>
      <c r="BG130" s="64"/>
      <c r="BH130" s="64"/>
      <c r="BI130" s="64"/>
      <c r="BJ130" s="64"/>
      <c r="BK130" s="63" t="str">
        <f>REPLACE(INDEX(GroupVertices[Group],MATCH(Edges[[#This Row],[Vertex 1]],GroupVertices[Vertex],0)),1,1,"")</f>
        <v>12</v>
      </c>
      <c r="BL130" s="63" t="str">
        <f>REPLACE(INDEX(GroupVertices[Group],MATCH(Edges[[#This Row],[Vertex 2]],GroupVertices[Vertex],0)),1,1,"")</f>
        <v>12</v>
      </c>
      <c r="BM130" s="137">
        <v>45180</v>
      </c>
      <c r="BN130" s="138" t="s">
        <v>1258</v>
      </c>
      <c r="BO130" s="48">
        <v>0</v>
      </c>
      <c r="BP130" s="49">
        <v>0</v>
      </c>
      <c r="BQ130" s="48">
        <v>0</v>
      </c>
      <c r="BR130" s="49">
        <v>0</v>
      </c>
      <c r="BS130" s="48">
        <v>0</v>
      </c>
      <c r="BT130" s="49">
        <v>0</v>
      </c>
      <c r="BU130" s="107">
        <v>150</v>
      </c>
      <c r="BV130" s="64">
        <v>1235</v>
      </c>
      <c r="BW130" s="64">
        <v>6007039</v>
      </c>
      <c r="BX130" s="64"/>
      <c r="BY130" s="64"/>
      <c r="BZ130" s="64" t="s">
        <v>1142</v>
      </c>
      <c r="CA130" s="64"/>
      <c r="CB130" s="64"/>
      <c r="CC130" s="64"/>
      <c r="CD130" s="64" t="s">
        <v>1261</v>
      </c>
      <c r="CE130" s="64"/>
      <c r="CF130" s="64"/>
      <c r="CG130" s="64"/>
      <c r="CH130" s="64"/>
      <c r="CI130" s="64"/>
      <c r="CJ130" s="64"/>
      <c r="CK130" s="136" t="s">
        <v>1381</v>
      </c>
      <c r="CL130" s="64"/>
      <c r="CM130" s="136" t="s">
        <v>691</v>
      </c>
      <c r="CN130" s="64">
        <v>2276698777</v>
      </c>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row>
    <row r="131" spans="1:128" ht="15">
      <c r="A131" s="62" t="s">
        <v>939</v>
      </c>
      <c r="B131" s="62" t="s">
        <v>939</v>
      </c>
      <c r="C131" s="78" t="s">
        <v>714</v>
      </c>
      <c r="D131" s="84">
        <v>5</v>
      </c>
      <c r="E131" s="85" t="s">
        <v>131</v>
      </c>
      <c r="F131" s="86">
        <v>16</v>
      </c>
      <c r="G131" s="78"/>
      <c r="H131" s="70"/>
      <c r="I131" s="87"/>
      <c r="J131" s="87"/>
      <c r="K131" s="34" t="s">
        <v>65</v>
      </c>
      <c r="L131" s="103">
        <v>131</v>
      </c>
      <c r="M131" s="103"/>
      <c r="N131" s="89"/>
      <c r="O131" s="64" t="s">
        <v>183</v>
      </c>
      <c r="P131" s="110">
        <v>45167.63297453704</v>
      </c>
      <c r="Q131" s="64" t="s">
        <v>1066</v>
      </c>
      <c r="R131" s="64"/>
      <c r="S131" s="64"/>
      <c r="T131" s="64"/>
      <c r="U131" s="110">
        <v>45167.63297453704</v>
      </c>
      <c r="V131" s="111" t="str">
        <f>HYPERLINK("https://twitter.com/business/status/1696541083809837196")</f>
        <v>https://twitter.com/business/status/1696541083809837196</v>
      </c>
      <c r="W131" s="64"/>
      <c r="X131" s="64"/>
      <c r="Y131" s="136" t="s">
        <v>1382</v>
      </c>
      <c r="Z131" s="64"/>
      <c r="AA131" s="104">
        <v>1</v>
      </c>
      <c r="AB131" s="105"/>
      <c r="AC131" s="106"/>
      <c r="AD131" s="105"/>
      <c r="AE131" s="106"/>
      <c r="AF131" s="105"/>
      <c r="AG131" s="106"/>
      <c r="AH131" s="48">
        <v>12</v>
      </c>
      <c r="AI131" s="49">
        <v>70.58823529411765</v>
      </c>
      <c r="AJ131" s="48">
        <v>17</v>
      </c>
      <c r="AK131" s="107"/>
      <c r="AL131" s="111" t="str">
        <f>HYPERLINK("https://pbs.twimg.com/profile_images/1631723279676317709/-fjgaR2p_normal.jpg")</f>
        <v>https://pbs.twimg.com/profile_images/1631723279676317709/-fjgaR2p_normal.jpg</v>
      </c>
      <c r="AM131" s="64"/>
      <c r="AN131" s="64">
        <v>1725</v>
      </c>
      <c r="AO131" s="64"/>
      <c r="AP131" s="64"/>
      <c r="AQ131" s="64" t="s">
        <v>1154</v>
      </c>
      <c r="AR131" s="64" t="b">
        <v>0</v>
      </c>
      <c r="AS131" s="136" t="s">
        <v>691</v>
      </c>
      <c r="AT131" s="64"/>
      <c r="AU131" s="64">
        <v>318</v>
      </c>
      <c r="AV131" s="136" t="s">
        <v>691</v>
      </c>
      <c r="AW131" s="136" t="s">
        <v>1153</v>
      </c>
      <c r="AX131" s="64"/>
      <c r="AY131" s="136" t="s">
        <v>1382</v>
      </c>
      <c r="AZ131" s="64"/>
      <c r="BA131" s="64"/>
      <c r="BB131" s="64"/>
      <c r="BC131" s="64"/>
      <c r="BD131" s="64"/>
      <c r="BE131" s="64"/>
      <c r="BF131" s="64"/>
      <c r="BG131" s="64"/>
      <c r="BH131" s="64"/>
      <c r="BI131" s="64"/>
      <c r="BJ131" s="64"/>
      <c r="BK131" s="63" t="str">
        <f>REPLACE(INDEX(GroupVertices[Group],MATCH(Edges[[#This Row],[Vertex 1]],GroupVertices[Vertex],0)),1,1,"")</f>
        <v>7</v>
      </c>
      <c r="BL131" s="63" t="str">
        <f>REPLACE(INDEX(GroupVertices[Group],MATCH(Edges[[#This Row],[Vertex 2]],GroupVertices[Vertex],0)),1,1,"")</f>
        <v>7</v>
      </c>
      <c r="BM131" s="137">
        <v>45167</v>
      </c>
      <c r="BN131" s="138" t="s">
        <v>1259</v>
      </c>
      <c r="BO131" s="48">
        <v>0</v>
      </c>
      <c r="BP131" s="49">
        <v>0</v>
      </c>
      <c r="BQ131" s="48">
        <v>0</v>
      </c>
      <c r="BR131" s="49">
        <v>0</v>
      </c>
      <c r="BS131" s="48">
        <v>0</v>
      </c>
      <c r="BT131" s="49">
        <v>0</v>
      </c>
      <c r="BU131" s="107">
        <v>103</v>
      </c>
      <c r="BV131" s="64">
        <v>11</v>
      </c>
      <c r="BW131" s="64">
        <v>12082460</v>
      </c>
      <c r="BX131" s="64"/>
      <c r="BY131" s="64"/>
      <c r="BZ131" s="64"/>
      <c r="CA131" s="64"/>
      <c r="CB131" s="64"/>
      <c r="CC131" s="64"/>
      <c r="CD131" s="64"/>
      <c r="CE131" s="64"/>
      <c r="CF131" s="64"/>
      <c r="CG131" s="64"/>
      <c r="CH131" s="64"/>
      <c r="CI131" s="64"/>
      <c r="CJ131" s="64"/>
      <c r="CK131" s="136" t="s">
        <v>1382</v>
      </c>
      <c r="CL131" s="64"/>
      <c r="CM131" s="136" t="s">
        <v>691</v>
      </c>
      <c r="CN131" s="64">
        <v>34713362</v>
      </c>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222</v>
      </c>
      <c r="B1" s="13" t="s">
        <v>223</v>
      </c>
      <c r="C1" s="13" t="s">
        <v>696</v>
      </c>
      <c r="D1" s="13" t="s">
        <v>698</v>
      </c>
      <c r="E1" s="13" t="s">
        <v>697</v>
      </c>
      <c r="F1" s="13" t="s">
        <v>699</v>
      </c>
      <c r="G1" s="63" t="s">
        <v>827</v>
      </c>
      <c r="H1" s="63" t="s">
        <v>829</v>
      </c>
      <c r="I1" s="13" t="s">
        <v>828</v>
      </c>
      <c r="J1" s="13" t="s">
        <v>831</v>
      </c>
      <c r="K1" s="63" t="s">
        <v>830</v>
      </c>
      <c r="L1" s="63" t="s">
        <v>833</v>
      </c>
      <c r="M1" s="63" t="s">
        <v>832</v>
      </c>
      <c r="N1" s="63" t="s">
        <v>835</v>
      </c>
      <c r="O1" s="13" t="s">
        <v>834</v>
      </c>
      <c r="P1" s="13" t="s">
        <v>837</v>
      </c>
      <c r="Q1" s="63" t="s">
        <v>836</v>
      </c>
      <c r="R1" s="63" t="s">
        <v>839</v>
      </c>
      <c r="S1" s="63" t="s">
        <v>838</v>
      </c>
      <c r="T1" s="63" t="s">
        <v>841</v>
      </c>
      <c r="U1" s="63" t="s">
        <v>840</v>
      </c>
      <c r="V1" s="63" t="s">
        <v>842</v>
      </c>
    </row>
    <row r="2" spans="1:22" ht="15">
      <c r="A2" s="66" t="s">
        <v>1755</v>
      </c>
      <c r="B2" s="63">
        <v>2</v>
      </c>
      <c r="C2" s="66" t="s">
        <v>1755</v>
      </c>
      <c r="D2" s="63">
        <v>2</v>
      </c>
      <c r="E2" s="66" t="s">
        <v>1761</v>
      </c>
      <c r="F2" s="63">
        <v>2</v>
      </c>
      <c r="G2" s="63"/>
      <c r="H2" s="63"/>
      <c r="I2" s="66" t="s">
        <v>1762</v>
      </c>
      <c r="J2" s="63">
        <v>2</v>
      </c>
      <c r="K2" s="63"/>
      <c r="L2" s="63"/>
      <c r="M2" s="63"/>
      <c r="N2" s="63"/>
      <c r="O2" s="66" t="s">
        <v>1774</v>
      </c>
      <c r="P2" s="63">
        <v>1</v>
      </c>
      <c r="Q2" s="63"/>
      <c r="R2" s="63"/>
      <c r="S2" s="63"/>
      <c r="T2" s="63"/>
      <c r="U2" s="63"/>
      <c r="V2" s="63"/>
    </row>
    <row r="3" spans="1:22" ht="15">
      <c r="A3" s="111" t="s">
        <v>1756</v>
      </c>
      <c r="B3" s="63">
        <v>2</v>
      </c>
      <c r="C3" s="66" t="s">
        <v>1760</v>
      </c>
      <c r="D3" s="63">
        <v>2</v>
      </c>
      <c r="E3" s="66" t="s">
        <v>1763</v>
      </c>
      <c r="F3" s="63">
        <v>1</v>
      </c>
      <c r="G3" s="63"/>
      <c r="H3" s="63"/>
      <c r="I3" s="63"/>
      <c r="J3" s="63"/>
      <c r="K3" s="63"/>
      <c r="L3" s="63"/>
      <c r="M3" s="63"/>
      <c r="N3" s="63"/>
      <c r="O3" s="63"/>
      <c r="P3" s="63"/>
      <c r="Q3" s="63"/>
      <c r="R3" s="63"/>
      <c r="S3" s="63"/>
      <c r="T3" s="63"/>
      <c r="U3" s="63"/>
      <c r="V3" s="63"/>
    </row>
    <row r="4" spans="1:22" ht="15" customHeight="1">
      <c r="A4" s="111" t="s">
        <v>1757</v>
      </c>
      <c r="B4" s="63">
        <v>2</v>
      </c>
      <c r="C4" s="66" t="s">
        <v>1759</v>
      </c>
      <c r="D4" s="63">
        <v>2</v>
      </c>
      <c r="E4" s="66" t="s">
        <v>1766</v>
      </c>
      <c r="F4" s="63">
        <v>1</v>
      </c>
      <c r="G4" s="63"/>
      <c r="H4" s="63"/>
      <c r="I4" s="63"/>
      <c r="J4" s="63"/>
      <c r="K4" s="63"/>
      <c r="L4" s="63"/>
      <c r="M4" s="63"/>
      <c r="N4" s="63"/>
      <c r="O4" s="63"/>
      <c r="P4" s="63"/>
      <c r="Q4" s="63"/>
      <c r="R4" s="63"/>
      <c r="S4" s="63"/>
      <c r="T4" s="63"/>
      <c r="U4" s="63"/>
      <c r="V4" s="63"/>
    </row>
    <row r="5" spans="1:22" ht="15">
      <c r="A5" s="111" t="s">
        <v>1758</v>
      </c>
      <c r="B5" s="63">
        <v>2</v>
      </c>
      <c r="C5" s="66" t="s">
        <v>1758</v>
      </c>
      <c r="D5" s="63">
        <v>2</v>
      </c>
      <c r="E5" s="66" t="s">
        <v>1767</v>
      </c>
      <c r="F5" s="63">
        <v>1</v>
      </c>
      <c r="G5" s="63"/>
      <c r="H5" s="63"/>
      <c r="I5" s="63"/>
      <c r="J5" s="63"/>
      <c r="K5" s="63"/>
      <c r="L5" s="63"/>
      <c r="M5" s="63"/>
      <c r="N5" s="63"/>
      <c r="O5" s="63"/>
      <c r="P5" s="63"/>
      <c r="Q5" s="63"/>
      <c r="R5" s="63"/>
      <c r="S5" s="63"/>
      <c r="T5" s="63"/>
      <c r="U5" s="63"/>
      <c r="V5" s="63"/>
    </row>
    <row r="6" spans="1:22" ht="15" customHeight="1">
      <c r="A6" s="111" t="s">
        <v>1759</v>
      </c>
      <c r="B6" s="63">
        <v>2</v>
      </c>
      <c r="C6" s="66" t="s">
        <v>1757</v>
      </c>
      <c r="D6" s="63">
        <v>2</v>
      </c>
      <c r="E6" s="66" t="s">
        <v>1768</v>
      </c>
      <c r="F6" s="63">
        <v>1</v>
      </c>
      <c r="G6" s="63"/>
      <c r="H6" s="63"/>
      <c r="I6" s="63"/>
      <c r="J6" s="63"/>
      <c r="K6" s="63"/>
      <c r="L6" s="63"/>
      <c r="M6" s="63"/>
      <c r="N6" s="63"/>
      <c r="O6" s="63"/>
      <c r="P6" s="63"/>
      <c r="Q6" s="63"/>
      <c r="R6" s="63"/>
      <c r="S6" s="63"/>
      <c r="T6" s="63"/>
      <c r="U6" s="63"/>
      <c r="V6" s="63"/>
    </row>
    <row r="7" spans="1:22" ht="15" customHeight="1">
      <c r="A7" s="111" t="s">
        <v>1760</v>
      </c>
      <c r="B7" s="63">
        <v>2</v>
      </c>
      <c r="C7" s="66" t="s">
        <v>1756</v>
      </c>
      <c r="D7" s="63">
        <v>2</v>
      </c>
      <c r="E7" s="66" t="s">
        <v>1769</v>
      </c>
      <c r="F7" s="63">
        <v>1</v>
      </c>
      <c r="G7" s="63"/>
      <c r="H7" s="63"/>
      <c r="I7" s="63"/>
      <c r="J7" s="63"/>
      <c r="K7" s="63"/>
      <c r="L7" s="63"/>
      <c r="M7" s="63"/>
      <c r="N7" s="63"/>
      <c r="O7" s="63"/>
      <c r="P7" s="63"/>
      <c r="Q7" s="63"/>
      <c r="R7" s="63"/>
      <c r="S7" s="63"/>
      <c r="T7" s="63"/>
      <c r="U7" s="63"/>
      <c r="V7" s="63"/>
    </row>
    <row r="8" spans="1:22" ht="15" customHeight="1">
      <c r="A8" s="111" t="s">
        <v>1761</v>
      </c>
      <c r="B8" s="63">
        <v>2</v>
      </c>
      <c r="C8" s="66" t="s">
        <v>1765</v>
      </c>
      <c r="D8" s="63">
        <v>1</v>
      </c>
      <c r="E8" s="66" t="s">
        <v>1770</v>
      </c>
      <c r="F8" s="63">
        <v>1</v>
      </c>
      <c r="G8" s="63"/>
      <c r="H8" s="63"/>
      <c r="I8" s="63"/>
      <c r="J8" s="63"/>
      <c r="K8" s="63"/>
      <c r="L8" s="63"/>
      <c r="M8" s="63"/>
      <c r="N8" s="63"/>
      <c r="O8" s="63"/>
      <c r="P8" s="63"/>
      <c r="Q8" s="63"/>
      <c r="R8" s="63"/>
      <c r="S8" s="63"/>
      <c r="T8" s="63"/>
      <c r="U8" s="63"/>
      <c r="V8" s="63"/>
    </row>
    <row r="9" spans="1:22" ht="15" customHeight="1">
      <c r="A9" s="111" t="s">
        <v>1762</v>
      </c>
      <c r="B9" s="63">
        <v>2</v>
      </c>
      <c r="C9" s="63"/>
      <c r="D9" s="63"/>
      <c r="E9" s="66" t="s">
        <v>1771</v>
      </c>
      <c r="F9" s="63">
        <v>1</v>
      </c>
      <c r="G9" s="63"/>
      <c r="H9" s="63"/>
      <c r="I9" s="63"/>
      <c r="J9" s="63"/>
      <c r="K9" s="63"/>
      <c r="L9" s="63"/>
      <c r="M9" s="63"/>
      <c r="N9" s="63"/>
      <c r="O9" s="63"/>
      <c r="P9" s="63"/>
      <c r="Q9" s="63"/>
      <c r="R9" s="63"/>
      <c r="S9" s="63"/>
      <c r="T9" s="63"/>
      <c r="U9" s="63"/>
      <c r="V9" s="63"/>
    </row>
    <row r="10" spans="1:22" ht="15" customHeight="1">
      <c r="A10" s="111" t="s">
        <v>1763</v>
      </c>
      <c r="B10" s="63">
        <v>1</v>
      </c>
      <c r="C10" s="63"/>
      <c r="D10" s="63"/>
      <c r="E10" s="66" t="s">
        <v>1772</v>
      </c>
      <c r="F10" s="63">
        <v>1</v>
      </c>
      <c r="G10" s="63"/>
      <c r="H10" s="63"/>
      <c r="I10" s="63"/>
      <c r="J10" s="63"/>
      <c r="K10" s="63"/>
      <c r="L10" s="63"/>
      <c r="M10" s="63"/>
      <c r="N10" s="63"/>
      <c r="O10" s="63"/>
      <c r="P10" s="63"/>
      <c r="Q10" s="63"/>
      <c r="R10" s="63"/>
      <c r="S10" s="63"/>
      <c r="T10" s="63"/>
      <c r="U10" s="63"/>
      <c r="V10" s="63"/>
    </row>
    <row r="11" spans="1:22" ht="15" customHeight="1">
      <c r="A11" s="111" t="s">
        <v>1764</v>
      </c>
      <c r="B11" s="63">
        <v>1</v>
      </c>
      <c r="C11" s="63"/>
      <c r="D11" s="63"/>
      <c r="E11" s="66" t="s">
        <v>1773</v>
      </c>
      <c r="F11" s="63">
        <v>1</v>
      </c>
      <c r="G11" s="63"/>
      <c r="H11" s="63"/>
      <c r="I11" s="63"/>
      <c r="J11" s="63"/>
      <c r="K11" s="63"/>
      <c r="L11" s="63"/>
      <c r="M11" s="63"/>
      <c r="N11" s="63"/>
      <c r="O11" s="63"/>
      <c r="P11" s="63"/>
      <c r="Q11" s="63"/>
      <c r="R11" s="63"/>
      <c r="S11" s="63"/>
      <c r="T11" s="63"/>
      <c r="U11" s="63"/>
      <c r="V11" s="63"/>
    </row>
    <row r="13" ht="15" customHeight="1"/>
    <row r="14" spans="1:22" ht="15" customHeight="1">
      <c r="A14" s="13" t="s">
        <v>225</v>
      </c>
      <c r="B14" s="13" t="s">
        <v>223</v>
      </c>
      <c r="C14" s="13" t="s">
        <v>700</v>
      </c>
      <c r="D14" s="13" t="s">
        <v>698</v>
      </c>
      <c r="E14" s="13" t="s">
        <v>701</v>
      </c>
      <c r="F14" s="13" t="s">
        <v>699</v>
      </c>
      <c r="G14" s="63" t="s">
        <v>843</v>
      </c>
      <c r="H14" s="63" t="s">
        <v>829</v>
      </c>
      <c r="I14" s="13" t="s">
        <v>844</v>
      </c>
      <c r="J14" s="13" t="s">
        <v>831</v>
      </c>
      <c r="K14" s="63" t="s">
        <v>845</v>
      </c>
      <c r="L14" s="63" t="s">
        <v>833</v>
      </c>
      <c r="M14" s="63" t="s">
        <v>846</v>
      </c>
      <c r="N14" s="63" t="s">
        <v>835</v>
      </c>
      <c r="O14" s="13" t="s">
        <v>847</v>
      </c>
      <c r="P14" s="13" t="s">
        <v>837</v>
      </c>
      <c r="Q14" s="63" t="s">
        <v>848</v>
      </c>
      <c r="R14" s="63" t="s">
        <v>839</v>
      </c>
      <c r="S14" s="63" t="s">
        <v>849</v>
      </c>
      <c r="T14" s="63" t="s">
        <v>841</v>
      </c>
      <c r="U14" s="63" t="s">
        <v>850</v>
      </c>
      <c r="V14" s="63" t="s">
        <v>842</v>
      </c>
    </row>
    <row r="15" spans="1:22" ht="15" customHeight="1">
      <c r="A15" s="63" t="s">
        <v>1099</v>
      </c>
      <c r="B15" s="63">
        <v>11</v>
      </c>
      <c r="C15" s="63" t="s">
        <v>1096</v>
      </c>
      <c r="D15" s="63">
        <v>2</v>
      </c>
      <c r="E15" s="63" t="s">
        <v>1099</v>
      </c>
      <c r="F15" s="63">
        <v>11</v>
      </c>
      <c r="G15" s="63"/>
      <c r="H15" s="63"/>
      <c r="I15" s="63" t="s">
        <v>1087</v>
      </c>
      <c r="J15" s="63">
        <v>2</v>
      </c>
      <c r="K15" s="63"/>
      <c r="L15" s="63"/>
      <c r="M15" s="63"/>
      <c r="N15" s="63"/>
      <c r="O15" s="63" t="s">
        <v>1089</v>
      </c>
      <c r="P15" s="63">
        <v>1</v>
      </c>
      <c r="Q15" s="63"/>
      <c r="R15" s="63"/>
      <c r="S15" s="63"/>
      <c r="T15" s="63"/>
      <c r="U15" s="63"/>
      <c r="V15" s="63"/>
    </row>
    <row r="16" spans="1:22" ht="15" customHeight="1">
      <c r="A16" s="64" t="s">
        <v>1085</v>
      </c>
      <c r="B16" s="63">
        <v>2</v>
      </c>
      <c r="C16" s="63" t="s">
        <v>1090</v>
      </c>
      <c r="D16" s="63">
        <v>2</v>
      </c>
      <c r="E16" s="63" t="s">
        <v>1088</v>
      </c>
      <c r="F16" s="63">
        <v>2</v>
      </c>
      <c r="G16" s="63"/>
      <c r="H16" s="63"/>
      <c r="I16" s="63"/>
      <c r="J16" s="63"/>
      <c r="K16" s="63"/>
      <c r="L16" s="63"/>
      <c r="M16" s="63"/>
      <c r="N16" s="63"/>
      <c r="O16" s="63"/>
      <c r="P16" s="63"/>
      <c r="Q16" s="63"/>
      <c r="R16" s="63"/>
      <c r="S16" s="63"/>
      <c r="T16" s="63"/>
      <c r="U16" s="63"/>
      <c r="V16" s="63"/>
    </row>
    <row r="17" spans="1:22" ht="15">
      <c r="A17" s="64" t="s">
        <v>1096</v>
      </c>
      <c r="B17" s="63">
        <v>2</v>
      </c>
      <c r="C17" s="63" t="s">
        <v>1091</v>
      </c>
      <c r="D17" s="63">
        <v>2</v>
      </c>
      <c r="E17" s="63" t="s">
        <v>1100</v>
      </c>
      <c r="F17" s="63">
        <v>1</v>
      </c>
      <c r="G17" s="63"/>
      <c r="H17" s="63"/>
      <c r="I17" s="63"/>
      <c r="J17" s="63"/>
      <c r="K17" s="63"/>
      <c r="L17" s="63"/>
      <c r="M17" s="63"/>
      <c r="N17" s="63"/>
      <c r="O17" s="63"/>
      <c r="P17" s="63"/>
      <c r="Q17" s="63"/>
      <c r="R17" s="63"/>
      <c r="S17" s="63"/>
      <c r="T17" s="63"/>
      <c r="U17" s="63"/>
      <c r="V17" s="63"/>
    </row>
    <row r="18" spans="1:22" ht="15" customHeight="1">
      <c r="A18" s="64" t="s">
        <v>1095</v>
      </c>
      <c r="B18" s="63">
        <v>2</v>
      </c>
      <c r="C18" s="63" t="s">
        <v>1092</v>
      </c>
      <c r="D18" s="63">
        <v>2</v>
      </c>
      <c r="E18" s="63" t="s">
        <v>1101</v>
      </c>
      <c r="F18" s="63">
        <v>1</v>
      </c>
      <c r="G18" s="63"/>
      <c r="H18" s="63"/>
      <c r="I18" s="63"/>
      <c r="J18" s="63"/>
      <c r="K18" s="63"/>
      <c r="L18" s="63"/>
      <c r="M18" s="63"/>
      <c r="N18" s="63"/>
      <c r="O18" s="63"/>
      <c r="P18" s="63"/>
      <c r="Q18" s="63"/>
      <c r="R18" s="63"/>
      <c r="S18" s="63"/>
      <c r="T18" s="63"/>
      <c r="U18" s="63"/>
      <c r="V18" s="63"/>
    </row>
    <row r="19" spans="1:22" ht="15" customHeight="1">
      <c r="A19" s="64" t="s">
        <v>1093</v>
      </c>
      <c r="B19" s="63">
        <v>2</v>
      </c>
      <c r="C19" s="63" t="s">
        <v>1093</v>
      </c>
      <c r="D19" s="63">
        <v>2</v>
      </c>
      <c r="E19" s="63" t="s">
        <v>1097</v>
      </c>
      <c r="F19" s="63">
        <v>1</v>
      </c>
      <c r="G19" s="63"/>
      <c r="H19" s="63"/>
      <c r="I19" s="63"/>
      <c r="J19" s="63"/>
      <c r="K19" s="63"/>
      <c r="L19" s="63"/>
      <c r="M19" s="63"/>
      <c r="N19" s="63"/>
      <c r="O19" s="63"/>
      <c r="P19" s="63"/>
      <c r="Q19" s="63"/>
      <c r="R19" s="63"/>
      <c r="S19" s="63"/>
      <c r="T19" s="63"/>
      <c r="U19" s="63"/>
      <c r="V19" s="63"/>
    </row>
    <row r="20" spans="1:22" ht="15" customHeight="1">
      <c r="A20" s="64" t="s">
        <v>1092</v>
      </c>
      <c r="B20" s="63">
        <v>2</v>
      </c>
      <c r="C20" s="63" t="s">
        <v>1095</v>
      </c>
      <c r="D20" s="63">
        <v>2</v>
      </c>
      <c r="E20" s="63" t="s">
        <v>1098</v>
      </c>
      <c r="F20" s="63">
        <v>1</v>
      </c>
      <c r="G20" s="63"/>
      <c r="H20" s="63"/>
      <c r="I20" s="63"/>
      <c r="J20" s="63"/>
      <c r="K20" s="63"/>
      <c r="L20" s="63"/>
      <c r="M20" s="63"/>
      <c r="N20" s="63"/>
      <c r="O20" s="63"/>
      <c r="P20" s="63"/>
      <c r="Q20" s="63"/>
      <c r="R20" s="63"/>
      <c r="S20" s="63"/>
      <c r="T20" s="63"/>
      <c r="U20" s="63"/>
      <c r="V20" s="63"/>
    </row>
    <row r="21" spans="1:22" ht="15" customHeight="1">
      <c r="A21" s="64" t="s">
        <v>1091</v>
      </c>
      <c r="B21" s="63">
        <v>2</v>
      </c>
      <c r="C21" s="63" t="s">
        <v>1094</v>
      </c>
      <c r="D21" s="63">
        <v>1</v>
      </c>
      <c r="E21" s="63" t="s">
        <v>1085</v>
      </c>
      <c r="F21" s="63">
        <v>1</v>
      </c>
      <c r="G21" s="63"/>
      <c r="H21" s="63"/>
      <c r="I21" s="63"/>
      <c r="J21" s="63"/>
      <c r="K21" s="63"/>
      <c r="L21" s="63"/>
      <c r="M21" s="63"/>
      <c r="N21" s="63"/>
      <c r="O21" s="63"/>
      <c r="P21" s="63"/>
      <c r="Q21" s="63"/>
      <c r="R21" s="63"/>
      <c r="S21" s="63"/>
      <c r="T21" s="63"/>
      <c r="U21" s="63"/>
      <c r="V21" s="63"/>
    </row>
    <row r="22" spans="1:22" ht="15" customHeight="1">
      <c r="A22" s="64" t="s">
        <v>1090</v>
      </c>
      <c r="B22" s="63">
        <v>2</v>
      </c>
      <c r="C22" s="63"/>
      <c r="D22" s="63"/>
      <c r="E22" s="63"/>
      <c r="F22" s="63"/>
      <c r="G22" s="63"/>
      <c r="H22" s="63"/>
      <c r="I22" s="63"/>
      <c r="J22" s="63"/>
      <c r="K22" s="63"/>
      <c r="L22" s="63"/>
      <c r="M22" s="63"/>
      <c r="N22" s="63"/>
      <c r="O22" s="63"/>
      <c r="P22" s="63"/>
      <c r="Q22" s="63"/>
      <c r="R22" s="63"/>
      <c r="S22" s="63"/>
      <c r="T22" s="63"/>
      <c r="U22" s="63"/>
      <c r="V22" s="63"/>
    </row>
    <row r="23" spans="1:22" ht="15">
      <c r="A23" s="64" t="s">
        <v>1088</v>
      </c>
      <c r="B23" s="63">
        <v>2</v>
      </c>
      <c r="C23" s="63"/>
      <c r="D23" s="63"/>
      <c r="E23" s="63"/>
      <c r="F23" s="63"/>
      <c r="G23" s="63"/>
      <c r="H23" s="63"/>
      <c r="I23" s="63"/>
      <c r="J23" s="63"/>
      <c r="K23" s="63"/>
      <c r="L23" s="63"/>
      <c r="M23" s="63"/>
      <c r="N23" s="63"/>
      <c r="O23" s="63"/>
      <c r="P23" s="63"/>
      <c r="Q23" s="63"/>
      <c r="R23" s="63"/>
      <c r="S23" s="63"/>
      <c r="T23" s="63"/>
      <c r="U23" s="63"/>
      <c r="V23" s="63"/>
    </row>
    <row r="24" spans="1:22" ht="15" customHeight="1">
      <c r="A24" s="64" t="s">
        <v>1087</v>
      </c>
      <c r="B24" s="63">
        <v>2</v>
      </c>
      <c r="C24" s="63"/>
      <c r="D24" s="63"/>
      <c r="E24" s="63"/>
      <c r="F24" s="63"/>
      <c r="G24" s="63"/>
      <c r="H24" s="63"/>
      <c r="I24" s="63"/>
      <c r="J24" s="63"/>
      <c r="K24" s="63"/>
      <c r="L24" s="63"/>
      <c r="M24" s="63"/>
      <c r="N24" s="63"/>
      <c r="O24" s="63"/>
      <c r="P24" s="63"/>
      <c r="Q24" s="63"/>
      <c r="R24" s="63"/>
      <c r="S24" s="63"/>
      <c r="T24" s="63"/>
      <c r="U24" s="63"/>
      <c r="V24" s="63"/>
    </row>
    <row r="25" ht="15" customHeight="1"/>
    <row r="26" ht="15" customHeight="1"/>
    <row r="27" spans="1:22" ht="15" customHeight="1">
      <c r="A27" s="13" t="s">
        <v>227</v>
      </c>
      <c r="B27" s="13" t="s">
        <v>223</v>
      </c>
      <c r="C27" s="13" t="s">
        <v>702</v>
      </c>
      <c r="D27" s="13" t="s">
        <v>698</v>
      </c>
      <c r="E27" s="13" t="s">
        <v>703</v>
      </c>
      <c r="F27" s="13" t="s">
        <v>699</v>
      </c>
      <c r="G27" s="63" t="s">
        <v>851</v>
      </c>
      <c r="H27" s="63" t="s">
        <v>829</v>
      </c>
      <c r="I27" s="63" t="s">
        <v>852</v>
      </c>
      <c r="J27" s="63" t="s">
        <v>831</v>
      </c>
      <c r="K27" s="63" t="s">
        <v>853</v>
      </c>
      <c r="L27" s="63" t="s">
        <v>833</v>
      </c>
      <c r="M27" s="63" t="s">
        <v>854</v>
      </c>
      <c r="N27" s="63" t="s">
        <v>835</v>
      </c>
      <c r="O27" s="13" t="s">
        <v>855</v>
      </c>
      <c r="P27" s="13" t="s">
        <v>837</v>
      </c>
      <c r="Q27" s="63" t="s">
        <v>856</v>
      </c>
      <c r="R27" s="63" t="s">
        <v>839</v>
      </c>
      <c r="S27" s="63" t="s">
        <v>857</v>
      </c>
      <c r="T27" s="63" t="s">
        <v>841</v>
      </c>
      <c r="U27" s="63" t="s">
        <v>858</v>
      </c>
      <c r="V27" s="63" t="s">
        <v>842</v>
      </c>
    </row>
    <row r="28" spans="1:22" ht="15">
      <c r="A28" s="63" t="s">
        <v>1078</v>
      </c>
      <c r="B28" s="63">
        <v>8</v>
      </c>
      <c r="C28" s="63" t="s">
        <v>1073</v>
      </c>
      <c r="D28" s="63">
        <v>4</v>
      </c>
      <c r="E28" s="63" t="s">
        <v>1078</v>
      </c>
      <c r="F28" s="63">
        <v>8</v>
      </c>
      <c r="G28" s="63"/>
      <c r="H28" s="63"/>
      <c r="I28" s="63"/>
      <c r="J28" s="63"/>
      <c r="K28" s="63"/>
      <c r="L28" s="63"/>
      <c r="M28" s="63"/>
      <c r="N28" s="63"/>
      <c r="O28" s="63" t="s">
        <v>1790</v>
      </c>
      <c r="P28" s="63">
        <v>2</v>
      </c>
      <c r="Q28" s="63"/>
      <c r="R28" s="63"/>
      <c r="S28" s="63"/>
      <c r="T28" s="63"/>
      <c r="U28" s="63"/>
      <c r="V28" s="63"/>
    </row>
    <row r="29" spans="1:22" ht="15">
      <c r="A29" s="64" t="s">
        <v>1782</v>
      </c>
      <c r="B29" s="63">
        <v>6</v>
      </c>
      <c r="C29" s="63" t="s">
        <v>1072</v>
      </c>
      <c r="D29" s="63">
        <v>2</v>
      </c>
      <c r="E29" s="63" t="s">
        <v>1782</v>
      </c>
      <c r="F29" s="63">
        <v>6</v>
      </c>
      <c r="G29" s="63"/>
      <c r="H29" s="63"/>
      <c r="I29" s="63"/>
      <c r="J29" s="63"/>
      <c r="K29" s="63"/>
      <c r="L29" s="63"/>
      <c r="M29" s="63"/>
      <c r="N29" s="63"/>
      <c r="O29" s="63" t="s">
        <v>1791</v>
      </c>
      <c r="P29" s="63">
        <v>2</v>
      </c>
      <c r="Q29" s="63"/>
      <c r="R29" s="63"/>
      <c r="S29" s="63"/>
      <c r="T29" s="63"/>
      <c r="U29" s="63"/>
      <c r="V29" s="63"/>
    </row>
    <row r="30" spans="1:22" ht="15" customHeight="1">
      <c r="A30" s="64" t="s">
        <v>1073</v>
      </c>
      <c r="B30" s="63">
        <v>4</v>
      </c>
      <c r="C30" s="63" t="s">
        <v>1784</v>
      </c>
      <c r="D30" s="63">
        <v>2</v>
      </c>
      <c r="E30" s="63" t="s">
        <v>1783</v>
      </c>
      <c r="F30" s="63">
        <v>2</v>
      </c>
      <c r="G30" s="63"/>
      <c r="H30" s="63"/>
      <c r="I30" s="63"/>
      <c r="J30" s="63"/>
      <c r="K30" s="63"/>
      <c r="L30" s="63"/>
      <c r="M30" s="63"/>
      <c r="N30" s="63"/>
      <c r="O30" s="63" t="s">
        <v>1785</v>
      </c>
      <c r="P30" s="63">
        <v>2</v>
      </c>
      <c r="Q30" s="63"/>
      <c r="R30" s="63"/>
      <c r="S30" s="63"/>
      <c r="T30" s="63"/>
      <c r="U30" s="63"/>
      <c r="V30" s="63"/>
    </row>
    <row r="31" spans="1:22" ht="15">
      <c r="A31" s="64" t="s">
        <v>1783</v>
      </c>
      <c r="B31" s="63">
        <v>2</v>
      </c>
      <c r="C31" s="63" t="s">
        <v>1075</v>
      </c>
      <c r="D31" s="63">
        <v>2</v>
      </c>
      <c r="E31" s="63" t="s">
        <v>1076</v>
      </c>
      <c r="F31" s="63">
        <v>1</v>
      </c>
      <c r="G31" s="63"/>
      <c r="H31" s="63"/>
      <c r="I31" s="63"/>
      <c r="J31" s="63"/>
      <c r="K31" s="63"/>
      <c r="L31" s="63"/>
      <c r="M31" s="63"/>
      <c r="N31" s="63"/>
      <c r="O31" s="63" t="s">
        <v>1786</v>
      </c>
      <c r="P31" s="63">
        <v>2</v>
      </c>
      <c r="Q31" s="63"/>
      <c r="R31" s="63"/>
      <c r="S31" s="63"/>
      <c r="T31" s="63"/>
      <c r="U31" s="63"/>
      <c r="V31" s="63"/>
    </row>
    <row r="32" spans="1:22" ht="15" customHeight="1">
      <c r="A32" s="64" t="s">
        <v>1075</v>
      </c>
      <c r="B32" s="63">
        <v>2</v>
      </c>
      <c r="C32" s="63"/>
      <c r="D32" s="63"/>
      <c r="E32" s="63" t="s">
        <v>1788</v>
      </c>
      <c r="F32" s="63">
        <v>1</v>
      </c>
      <c r="G32" s="63"/>
      <c r="H32" s="63"/>
      <c r="I32" s="63"/>
      <c r="J32" s="63"/>
      <c r="K32" s="63"/>
      <c r="L32" s="63"/>
      <c r="M32" s="63"/>
      <c r="N32" s="63"/>
      <c r="O32" s="63" t="s">
        <v>1787</v>
      </c>
      <c r="P32" s="63">
        <v>2</v>
      </c>
      <c r="Q32" s="63"/>
      <c r="R32" s="63"/>
      <c r="S32" s="63"/>
      <c r="T32" s="63"/>
      <c r="U32" s="63"/>
      <c r="V32" s="63"/>
    </row>
    <row r="33" spans="1:22" ht="15" customHeight="1">
      <c r="A33" s="64" t="s">
        <v>1784</v>
      </c>
      <c r="B33" s="63">
        <v>2</v>
      </c>
      <c r="C33" s="63"/>
      <c r="D33" s="63"/>
      <c r="E33" s="63" t="s">
        <v>1789</v>
      </c>
      <c r="F33" s="63">
        <v>1</v>
      </c>
      <c r="G33" s="63"/>
      <c r="H33" s="63"/>
      <c r="I33" s="63"/>
      <c r="J33" s="63"/>
      <c r="K33" s="63"/>
      <c r="L33" s="63"/>
      <c r="M33" s="63"/>
      <c r="N33" s="63"/>
      <c r="O33" s="63" t="s">
        <v>1792</v>
      </c>
      <c r="P33" s="63">
        <v>2</v>
      </c>
      <c r="Q33" s="63"/>
      <c r="R33" s="63"/>
      <c r="S33" s="63"/>
      <c r="T33" s="63"/>
      <c r="U33" s="63"/>
      <c r="V33" s="63"/>
    </row>
    <row r="34" spans="1:22" ht="15" customHeight="1">
      <c r="A34" s="64" t="s">
        <v>1072</v>
      </c>
      <c r="B34" s="63">
        <v>2</v>
      </c>
      <c r="C34" s="63"/>
      <c r="D34" s="63"/>
      <c r="E34" s="63" t="s">
        <v>1080</v>
      </c>
      <c r="F34" s="63">
        <v>1</v>
      </c>
      <c r="G34" s="63"/>
      <c r="H34" s="63"/>
      <c r="I34" s="63"/>
      <c r="J34" s="63"/>
      <c r="K34" s="63"/>
      <c r="L34" s="63"/>
      <c r="M34" s="63"/>
      <c r="N34" s="63"/>
      <c r="O34" s="63" t="s">
        <v>1793</v>
      </c>
      <c r="P34" s="63">
        <v>2</v>
      </c>
      <c r="Q34" s="63"/>
      <c r="R34" s="63"/>
      <c r="S34" s="63"/>
      <c r="T34" s="63"/>
      <c r="U34" s="63"/>
      <c r="V34" s="63"/>
    </row>
    <row r="35" spans="1:22" ht="15" customHeight="1">
      <c r="A35" s="64" t="s">
        <v>1785</v>
      </c>
      <c r="B35" s="63">
        <v>2</v>
      </c>
      <c r="C35" s="63"/>
      <c r="D35" s="63"/>
      <c r="E35" s="63" t="s">
        <v>360</v>
      </c>
      <c r="F35" s="63">
        <v>1</v>
      </c>
      <c r="G35" s="63"/>
      <c r="H35" s="63"/>
      <c r="I35" s="63"/>
      <c r="J35" s="63"/>
      <c r="K35" s="63"/>
      <c r="L35" s="63"/>
      <c r="M35" s="63"/>
      <c r="N35" s="63"/>
      <c r="O35" s="63" t="s">
        <v>1794</v>
      </c>
      <c r="P35" s="63">
        <v>1</v>
      </c>
      <c r="Q35" s="63"/>
      <c r="R35" s="63"/>
      <c r="S35" s="63"/>
      <c r="T35" s="63"/>
      <c r="U35" s="63"/>
      <c r="V35" s="63"/>
    </row>
    <row r="36" spans="1:22" ht="15">
      <c r="A36" s="64" t="s">
        <v>1786</v>
      </c>
      <c r="B36" s="63">
        <v>2</v>
      </c>
      <c r="C36" s="63"/>
      <c r="D36" s="63"/>
      <c r="E36" s="63" t="s">
        <v>306</v>
      </c>
      <c r="F36" s="63">
        <v>1</v>
      </c>
      <c r="G36" s="63"/>
      <c r="H36" s="63"/>
      <c r="I36" s="63"/>
      <c r="J36" s="63"/>
      <c r="K36" s="63"/>
      <c r="L36" s="63"/>
      <c r="M36" s="63"/>
      <c r="N36" s="63"/>
      <c r="O36" s="63"/>
      <c r="P36" s="63"/>
      <c r="Q36" s="63"/>
      <c r="R36" s="63"/>
      <c r="S36" s="63"/>
      <c r="T36" s="63"/>
      <c r="U36" s="63"/>
      <c r="V36" s="63"/>
    </row>
    <row r="37" spans="1:22" ht="15" customHeight="1">
      <c r="A37" s="64" t="s">
        <v>1787</v>
      </c>
      <c r="B37" s="63">
        <v>2</v>
      </c>
      <c r="C37" s="63"/>
      <c r="D37" s="63"/>
      <c r="E37" s="63"/>
      <c r="F37" s="63"/>
      <c r="G37" s="63"/>
      <c r="H37" s="63"/>
      <c r="I37" s="63"/>
      <c r="J37" s="63"/>
      <c r="K37" s="63"/>
      <c r="L37" s="63"/>
      <c r="M37" s="63"/>
      <c r="N37" s="63"/>
      <c r="O37" s="63"/>
      <c r="P37" s="63"/>
      <c r="Q37" s="63"/>
      <c r="R37" s="63"/>
      <c r="S37" s="63"/>
      <c r="T37" s="63"/>
      <c r="U37" s="63"/>
      <c r="V37" s="63"/>
    </row>
    <row r="38" ht="15" customHeight="1"/>
    <row r="39" ht="15" customHeight="1"/>
    <row r="40" spans="1:22" ht="15" customHeight="1">
      <c r="A40" s="13" t="s">
        <v>229</v>
      </c>
      <c r="B40" s="13" t="s">
        <v>223</v>
      </c>
      <c r="C40" s="13" t="s">
        <v>704</v>
      </c>
      <c r="D40" s="13" t="s">
        <v>698</v>
      </c>
      <c r="E40" s="13" t="s">
        <v>705</v>
      </c>
      <c r="F40" s="13" t="s">
        <v>699</v>
      </c>
      <c r="G40" s="13" t="s">
        <v>859</v>
      </c>
      <c r="H40" s="13" t="s">
        <v>829</v>
      </c>
      <c r="I40" s="13" t="s">
        <v>860</v>
      </c>
      <c r="J40" s="13" t="s">
        <v>831</v>
      </c>
      <c r="K40" s="63" t="s">
        <v>861</v>
      </c>
      <c r="L40" s="63" t="s">
        <v>833</v>
      </c>
      <c r="M40" s="13" t="s">
        <v>862</v>
      </c>
      <c r="N40" s="13" t="s">
        <v>835</v>
      </c>
      <c r="O40" s="13" t="s">
        <v>863</v>
      </c>
      <c r="P40" s="13" t="s">
        <v>837</v>
      </c>
      <c r="Q40" s="13" t="s">
        <v>864</v>
      </c>
      <c r="R40" s="13" t="s">
        <v>839</v>
      </c>
      <c r="S40" s="13" t="s">
        <v>865</v>
      </c>
      <c r="T40" s="13" t="s">
        <v>841</v>
      </c>
      <c r="U40" s="63" t="s">
        <v>866</v>
      </c>
      <c r="V40" s="63" t="s">
        <v>842</v>
      </c>
    </row>
    <row r="41" spans="1:22" ht="15">
      <c r="A41" s="67" t="s">
        <v>958</v>
      </c>
      <c r="B41" s="67">
        <v>14</v>
      </c>
      <c r="C41" s="67" t="s">
        <v>958</v>
      </c>
      <c r="D41" s="67">
        <v>14</v>
      </c>
      <c r="E41" s="67" t="s">
        <v>963</v>
      </c>
      <c r="F41" s="67">
        <v>11</v>
      </c>
      <c r="G41" s="67" t="s">
        <v>1801</v>
      </c>
      <c r="H41" s="67">
        <v>8</v>
      </c>
      <c r="I41" s="67" t="s">
        <v>1824</v>
      </c>
      <c r="J41" s="67">
        <v>4</v>
      </c>
      <c r="K41" s="67"/>
      <c r="L41" s="67"/>
      <c r="M41" s="67" t="s">
        <v>942</v>
      </c>
      <c r="N41" s="67">
        <v>2</v>
      </c>
      <c r="O41" s="67" t="s">
        <v>1833</v>
      </c>
      <c r="P41" s="67">
        <v>3</v>
      </c>
      <c r="Q41" s="67" t="s">
        <v>1843</v>
      </c>
      <c r="R41" s="67">
        <v>2</v>
      </c>
      <c r="S41" s="67" t="s">
        <v>1850</v>
      </c>
      <c r="T41" s="67">
        <v>2</v>
      </c>
      <c r="U41" s="67"/>
      <c r="V41" s="67"/>
    </row>
    <row r="42" spans="1:22" ht="15">
      <c r="A42" s="136" t="s">
        <v>1798</v>
      </c>
      <c r="B42" s="67">
        <v>14</v>
      </c>
      <c r="C42" s="67" t="s">
        <v>1798</v>
      </c>
      <c r="D42" s="67">
        <v>14</v>
      </c>
      <c r="E42" s="67" t="s">
        <v>1803</v>
      </c>
      <c r="F42" s="67">
        <v>8</v>
      </c>
      <c r="G42" s="67" t="s">
        <v>1800</v>
      </c>
      <c r="H42" s="67">
        <v>4</v>
      </c>
      <c r="I42" s="67" t="s">
        <v>1825</v>
      </c>
      <c r="J42" s="67">
        <v>4</v>
      </c>
      <c r="K42" s="67"/>
      <c r="L42" s="67"/>
      <c r="M42" s="67" t="s">
        <v>333</v>
      </c>
      <c r="N42" s="67">
        <v>2</v>
      </c>
      <c r="O42" s="67" t="s">
        <v>1834</v>
      </c>
      <c r="P42" s="67">
        <v>3</v>
      </c>
      <c r="Q42" s="67" t="s">
        <v>1844</v>
      </c>
      <c r="R42" s="67">
        <v>2</v>
      </c>
      <c r="S42" s="67"/>
      <c r="T42" s="67"/>
      <c r="U42" s="67"/>
      <c r="V42" s="67"/>
    </row>
    <row r="43" spans="1:22" ht="15" customHeight="1">
      <c r="A43" s="136" t="s">
        <v>1799</v>
      </c>
      <c r="B43" s="67">
        <v>14</v>
      </c>
      <c r="C43" s="67" t="s">
        <v>1799</v>
      </c>
      <c r="D43" s="67">
        <v>14</v>
      </c>
      <c r="E43" s="67" t="s">
        <v>1805</v>
      </c>
      <c r="F43" s="67">
        <v>6</v>
      </c>
      <c r="G43" s="67" t="s">
        <v>1816</v>
      </c>
      <c r="H43" s="67">
        <v>3</v>
      </c>
      <c r="I43" s="67" t="s">
        <v>1826</v>
      </c>
      <c r="J43" s="67">
        <v>3</v>
      </c>
      <c r="K43" s="67"/>
      <c r="L43" s="67"/>
      <c r="M43" s="67" t="s">
        <v>1832</v>
      </c>
      <c r="N43" s="67">
        <v>2</v>
      </c>
      <c r="O43" s="67" t="s">
        <v>1835</v>
      </c>
      <c r="P43" s="67">
        <v>3</v>
      </c>
      <c r="Q43" s="67" t="s">
        <v>1845</v>
      </c>
      <c r="R43" s="67">
        <v>2</v>
      </c>
      <c r="S43" s="67"/>
      <c r="T43" s="67"/>
      <c r="U43" s="67"/>
      <c r="V43" s="67"/>
    </row>
    <row r="44" spans="1:22" ht="15">
      <c r="A44" s="136" t="s">
        <v>963</v>
      </c>
      <c r="B44" s="67">
        <v>11</v>
      </c>
      <c r="C44" s="67" t="s">
        <v>1804</v>
      </c>
      <c r="D44" s="67">
        <v>7</v>
      </c>
      <c r="E44" s="67" t="s">
        <v>1800</v>
      </c>
      <c r="F44" s="67">
        <v>5</v>
      </c>
      <c r="G44" s="67" t="s">
        <v>1817</v>
      </c>
      <c r="H44" s="67">
        <v>2</v>
      </c>
      <c r="I44" s="67" t="s">
        <v>953</v>
      </c>
      <c r="J44" s="67">
        <v>3</v>
      </c>
      <c r="K44" s="67"/>
      <c r="L44" s="67"/>
      <c r="M44" s="67" t="s">
        <v>941</v>
      </c>
      <c r="N44" s="67">
        <v>2</v>
      </c>
      <c r="O44" s="67" t="s">
        <v>1836</v>
      </c>
      <c r="P44" s="67">
        <v>2</v>
      </c>
      <c r="Q44" s="67" t="s">
        <v>1846</v>
      </c>
      <c r="R44" s="67">
        <v>2</v>
      </c>
      <c r="S44" s="67"/>
      <c r="T44" s="67"/>
      <c r="U44" s="67"/>
      <c r="V44" s="67"/>
    </row>
    <row r="45" spans="1:22" ht="15" customHeight="1">
      <c r="A45" s="136" t="s">
        <v>1800</v>
      </c>
      <c r="B45" s="67">
        <v>9</v>
      </c>
      <c r="C45" s="67" t="s">
        <v>1802</v>
      </c>
      <c r="D45" s="67">
        <v>6</v>
      </c>
      <c r="E45" s="67" t="s">
        <v>1810</v>
      </c>
      <c r="F45" s="67">
        <v>3</v>
      </c>
      <c r="G45" s="67" t="s">
        <v>1818</v>
      </c>
      <c r="H45" s="67">
        <v>2</v>
      </c>
      <c r="I45" s="67" t="s">
        <v>913</v>
      </c>
      <c r="J45" s="67">
        <v>3</v>
      </c>
      <c r="K45" s="67"/>
      <c r="L45" s="67"/>
      <c r="M45" s="67" t="s">
        <v>943</v>
      </c>
      <c r="N45" s="67">
        <v>2</v>
      </c>
      <c r="O45" s="67" t="s">
        <v>1837</v>
      </c>
      <c r="P45" s="67">
        <v>2</v>
      </c>
      <c r="Q45" s="67" t="s">
        <v>317</v>
      </c>
      <c r="R45" s="67">
        <v>2</v>
      </c>
      <c r="S45" s="67"/>
      <c r="T45" s="67"/>
      <c r="U45" s="67"/>
      <c r="V45" s="67"/>
    </row>
    <row r="46" spans="1:22" ht="15" customHeight="1">
      <c r="A46" s="136" t="s">
        <v>1801</v>
      </c>
      <c r="B46" s="67">
        <v>9</v>
      </c>
      <c r="C46" s="67" t="s">
        <v>929</v>
      </c>
      <c r="D46" s="67">
        <v>6</v>
      </c>
      <c r="E46" s="67" t="s">
        <v>1811</v>
      </c>
      <c r="F46" s="67">
        <v>3</v>
      </c>
      <c r="G46" s="67" t="s">
        <v>1819</v>
      </c>
      <c r="H46" s="67">
        <v>2</v>
      </c>
      <c r="I46" s="67" t="s">
        <v>1827</v>
      </c>
      <c r="J46" s="67">
        <v>2</v>
      </c>
      <c r="K46" s="67"/>
      <c r="L46" s="67"/>
      <c r="M46" s="67" t="s">
        <v>940</v>
      </c>
      <c r="N46" s="67">
        <v>2</v>
      </c>
      <c r="O46" s="67" t="s">
        <v>1838</v>
      </c>
      <c r="P46" s="67">
        <v>2</v>
      </c>
      <c r="Q46" s="67" t="s">
        <v>1847</v>
      </c>
      <c r="R46" s="67">
        <v>2</v>
      </c>
      <c r="S46" s="67"/>
      <c r="T46" s="67"/>
      <c r="U46" s="67"/>
      <c r="V46" s="67"/>
    </row>
    <row r="47" spans="1:22" ht="15" customHeight="1">
      <c r="A47" s="136" t="s">
        <v>1802</v>
      </c>
      <c r="B47" s="67">
        <v>8</v>
      </c>
      <c r="C47" s="67" t="s">
        <v>1806</v>
      </c>
      <c r="D47" s="67">
        <v>6</v>
      </c>
      <c r="E47" s="67" t="s">
        <v>1812</v>
      </c>
      <c r="F47" s="67">
        <v>3</v>
      </c>
      <c r="G47" s="67" t="s">
        <v>1820</v>
      </c>
      <c r="H47" s="67">
        <v>2</v>
      </c>
      <c r="I47" s="67" t="s">
        <v>1828</v>
      </c>
      <c r="J47" s="67">
        <v>2</v>
      </c>
      <c r="K47" s="67"/>
      <c r="L47" s="67"/>
      <c r="M47" s="67"/>
      <c r="N47" s="67"/>
      <c r="O47" s="67" t="s">
        <v>1839</v>
      </c>
      <c r="P47" s="67">
        <v>2</v>
      </c>
      <c r="Q47" s="67" t="s">
        <v>1789</v>
      </c>
      <c r="R47" s="67">
        <v>2</v>
      </c>
      <c r="S47" s="67"/>
      <c r="T47" s="67"/>
      <c r="U47" s="67"/>
      <c r="V47" s="67"/>
    </row>
    <row r="48" spans="1:22" ht="15" customHeight="1">
      <c r="A48" s="136" t="s">
        <v>1803</v>
      </c>
      <c r="B48" s="67">
        <v>8</v>
      </c>
      <c r="C48" s="67" t="s">
        <v>1807</v>
      </c>
      <c r="D48" s="67">
        <v>4</v>
      </c>
      <c r="E48" s="67" t="s">
        <v>1813</v>
      </c>
      <c r="F48" s="67">
        <v>3</v>
      </c>
      <c r="G48" s="67" t="s">
        <v>1821</v>
      </c>
      <c r="H48" s="67">
        <v>2</v>
      </c>
      <c r="I48" s="67" t="s">
        <v>1829</v>
      </c>
      <c r="J48" s="67">
        <v>2</v>
      </c>
      <c r="K48" s="67"/>
      <c r="L48" s="67"/>
      <c r="M48" s="67"/>
      <c r="N48" s="67"/>
      <c r="O48" s="67" t="s">
        <v>1840</v>
      </c>
      <c r="P48" s="67">
        <v>2</v>
      </c>
      <c r="Q48" s="67" t="s">
        <v>1812</v>
      </c>
      <c r="R48" s="67">
        <v>2</v>
      </c>
      <c r="S48" s="67"/>
      <c r="T48" s="67"/>
      <c r="U48" s="67"/>
      <c r="V48" s="67"/>
    </row>
    <row r="49" spans="1:22" ht="15" customHeight="1">
      <c r="A49" s="136" t="s">
        <v>1804</v>
      </c>
      <c r="B49" s="67">
        <v>8</v>
      </c>
      <c r="C49" s="67" t="s">
        <v>1808</v>
      </c>
      <c r="D49" s="67">
        <v>4</v>
      </c>
      <c r="E49" s="67" t="s">
        <v>1814</v>
      </c>
      <c r="F49" s="67">
        <v>3</v>
      </c>
      <c r="G49" s="67" t="s">
        <v>1822</v>
      </c>
      <c r="H49" s="67">
        <v>2</v>
      </c>
      <c r="I49" s="67" t="s">
        <v>1830</v>
      </c>
      <c r="J49" s="67">
        <v>2</v>
      </c>
      <c r="K49" s="67"/>
      <c r="L49" s="67"/>
      <c r="M49" s="67"/>
      <c r="N49" s="67"/>
      <c r="O49" s="67" t="s">
        <v>1841</v>
      </c>
      <c r="P49" s="67">
        <v>2</v>
      </c>
      <c r="Q49" s="67" t="s">
        <v>1848</v>
      </c>
      <c r="R49" s="67">
        <v>2</v>
      </c>
      <c r="S49" s="67"/>
      <c r="T49" s="67"/>
      <c r="U49" s="67"/>
      <c r="V49" s="67"/>
    </row>
    <row r="50" spans="1:22" ht="15" customHeight="1">
      <c r="A50" s="136" t="s">
        <v>1805</v>
      </c>
      <c r="B50" s="67">
        <v>6</v>
      </c>
      <c r="C50" s="67" t="s">
        <v>1809</v>
      </c>
      <c r="D50" s="67">
        <v>4</v>
      </c>
      <c r="E50" s="67" t="s">
        <v>1815</v>
      </c>
      <c r="F50" s="67">
        <v>2</v>
      </c>
      <c r="G50" s="67" t="s">
        <v>1823</v>
      </c>
      <c r="H50" s="67">
        <v>2</v>
      </c>
      <c r="I50" s="67" t="s">
        <v>1831</v>
      </c>
      <c r="J50" s="67">
        <v>2</v>
      </c>
      <c r="K50" s="67"/>
      <c r="L50" s="67"/>
      <c r="M50" s="67"/>
      <c r="N50" s="67"/>
      <c r="O50" s="67" t="s">
        <v>1842</v>
      </c>
      <c r="P50" s="67">
        <v>2</v>
      </c>
      <c r="Q50" s="67" t="s">
        <v>1849</v>
      </c>
      <c r="R50" s="67">
        <v>2</v>
      </c>
      <c r="S50" s="67"/>
      <c r="T50" s="67"/>
      <c r="U50" s="67"/>
      <c r="V50" s="67"/>
    </row>
    <row r="51" ht="15" customHeight="1"/>
    <row r="52" ht="15" customHeight="1"/>
    <row r="53" spans="1:22" ht="15" customHeight="1">
      <c r="A53" s="13" t="s">
        <v>231</v>
      </c>
      <c r="B53" s="13" t="s">
        <v>223</v>
      </c>
      <c r="C53" s="13" t="s">
        <v>706</v>
      </c>
      <c r="D53" s="13" t="s">
        <v>698</v>
      </c>
      <c r="E53" s="13" t="s">
        <v>707</v>
      </c>
      <c r="F53" s="13" t="s">
        <v>699</v>
      </c>
      <c r="G53" s="13" t="s">
        <v>867</v>
      </c>
      <c r="H53" s="13" t="s">
        <v>829</v>
      </c>
      <c r="I53" s="13" t="s">
        <v>868</v>
      </c>
      <c r="J53" s="13" t="s">
        <v>831</v>
      </c>
      <c r="K53" s="63" t="s">
        <v>869</v>
      </c>
      <c r="L53" s="63" t="s">
        <v>833</v>
      </c>
      <c r="M53" s="13" t="s">
        <v>870</v>
      </c>
      <c r="N53" s="13" t="s">
        <v>835</v>
      </c>
      <c r="O53" s="13" t="s">
        <v>871</v>
      </c>
      <c r="P53" s="13" t="s">
        <v>837</v>
      </c>
      <c r="Q53" s="13" t="s">
        <v>872</v>
      </c>
      <c r="R53" s="13" t="s">
        <v>839</v>
      </c>
      <c r="S53" s="63" t="s">
        <v>873</v>
      </c>
      <c r="T53" s="63" t="s">
        <v>841</v>
      </c>
      <c r="U53" s="63" t="s">
        <v>874</v>
      </c>
      <c r="V53" s="63" t="s">
        <v>842</v>
      </c>
    </row>
    <row r="54" spans="1:22" ht="15" customHeight="1">
      <c r="A54" s="67" t="s">
        <v>1860</v>
      </c>
      <c r="B54" s="67">
        <v>14</v>
      </c>
      <c r="C54" s="67" t="s">
        <v>1861</v>
      </c>
      <c r="D54" s="67">
        <v>14</v>
      </c>
      <c r="E54" s="67" t="s">
        <v>1865</v>
      </c>
      <c r="F54" s="67">
        <v>5</v>
      </c>
      <c r="G54" s="67" t="s">
        <v>1864</v>
      </c>
      <c r="H54" s="67">
        <v>6</v>
      </c>
      <c r="I54" s="67" t="s">
        <v>1867</v>
      </c>
      <c r="J54" s="67">
        <v>4</v>
      </c>
      <c r="K54" s="67"/>
      <c r="L54" s="67"/>
      <c r="M54" s="67" t="s">
        <v>1896</v>
      </c>
      <c r="N54" s="67">
        <v>2</v>
      </c>
      <c r="O54" s="67" t="s">
        <v>1898</v>
      </c>
      <c r="P54" s="67">
        <v>2</v>
      </c>
      <c r="Q54" s="67" t="s">
        <v>1908</v>
      </c>
      <c r="R54" s="67">
        <v>2</v>
      </c>
      <c r="S54" s="67"/>
      <c r="T54" s="67"/>
      <c r="U54" s="67"/>
      <c r="V54" s="67"/>
    </row>
    <row r="55" spans="1:22" ht="15">
      <c r="A55" s="136" t="s">
        <v>1861</v>
      </c>
      <c r="B55" s="67">
        <v>14</v>
      </c>
      <c r="C55" s="67" t="s">
        <v>1860</v>
      </c>
      <c r="D55" s="67">
        <v>14</v>
      </c>
      <c r="E55" s="67" t="s">
        <v>1869</v>
      </c>
      <c r="F55" s="67">
        <v>3</v>
      </c>
      <c r="G55" s="67" t="s">
        <v>1878</v>
      </c>
      <c r="H55" s="67">
        <v>2</v>
      </c>
      <c r="I55" s="67" t="s">
        <v>1887</v>
      </c>
      <c r="J55" s="67">
        <v>2</v>
      </c>
      <c r="K55" s="67"/>
      <c r="L55" s="67"/>
      <c r="M55" s="67" t="s">
        <v>1897</v>
      </c>
      <c r="N55" s="67">
        <v>2</v>
      </c>
      <c r="O55" s="67" t="s">
        <v>1899</v>
      </c>
      <c r="P55" s="67">
        <v>2</v>
      </c>
      <c r="Q55" s="67" t="s">
        <v>1909</v>
      </c>
      <c r="R55" s="67">
        <v>2</v>
      </c>
      <c r="S55" s="67"/>
      <c r="T55" s="67"/>
      <c r="U55" s="67"/>
      <c r="V55" s="67"/>
    </row>
    <row r="56" spans="1:22" ht="15" customHeight="1">
      <c r="A56" s="136" t="s">
        <v>1862</v>
      </c>
      <c r="B56" s="67">
        <v>6</v>
      </c>
      <c r="C56" s="67" t="s">
        <v>1862</v>
      </c>
      <c r="D56" s="67">
        <v>6</v>
      </c>
      <c r="E56" s="67" t="s">
        <v>1868</v>
      </c>
      <c r="F56" s="67">
        <v>3</v>
      </c>
      <c r="G56" s="67" t="s">
        <v>1879</v>
      </c>
      <c r="H56" s="67">
        <v>2</v>
      </c>
      <c r="I56" s="67" t="s">
        <v>1888</v>
      </c>
      <c r="J56" s="67">
        <v>2</v>
      </c>
      <c r="K56" s="67"/>
      <c r="L56" s="67"/>
      <c r="M56" s="67"/>
      <c r="N56" s="67"/>
      <c r="O56" s="67" t="s">
        <v>1900</v>
      </c>
      <c r="P56" s="67">
        <v>2</v>
      </c>
      <c r="Q56" s="67" t="s">
        <v>1910</v>
      </c>
      <c r="R56" s="67">
        <v>2</v>
      </c>
      <c r="S56" s="67"/>
      <c r="T56" s="67"/>
      <c r="U56" s="67"/>
      <c r="V56" s="67"/>
    </row>
    <row r="57" spans="1:22" ht="15" customHeight="1">
      <c r="A57" s="136" t="s">
        <v>1863</v>
      </c>
      <c r="B57" s="67">
        <v>6</v>
      </c>
      <c r="C57" s="67" t="s">
        <v>1863</v>
      </c>
      <c r="D57" s="67">
        <v>6</v>
      </c>
      <c r="E57" s="67" t="s">
        <v>1875</v>
      </c>
      <c r="F57" s="67">
        <v>2</v>
      </c>
      <c r="G57" s="67" t="s">
        <v>1880</v>
      </c>
      <c r="H57" s="67">
        <v>2</v>
      </c>
      <c r="I57" s="67" t="s">
        <v>1889</v>
      </c>
      <c r="J57" s="67">
        <v>2</v>
      </c>
      <c r="K57" s="67"/>
      <c r="L57" s="67"/>
      <c r="M57" s="67"/>
      <c r="N57" s="67"/>
      <c r="O57" s="67" t="s">
        <v>1901</v>
      </c>
      <c r="P57" s="67">
        <v>2</v>
      </c>
      <c r="Q57" s="67" t="s">
        <v>1911</v>
      </c>
      <c r="R57" s="67">
        <v>2</v>
      </c>
      <c r="S57" s="67"/>
      <c r="T57" s="67"/>
      <c r="U57" s="67"/>
      <c r="V57" s="67"/>
    </row>
    <row r="58" spans="1:22" ht="15" customHeight="1">
      <c r="A58" s="136" t="s">
        <v>1864</v>
      </c>
      <c r="B58" s="67">
        <v>6</v>
      </c>
      <c r="C58" s="67" t="s">
        <v>1866</v>
      </c>
      <c r="D58" s="67">
        <v>4</v>
      </c>
      <c r="E58" s="67" t="s">
        <v>1876</v>
      </c>
      <c r="F58" s="67">
        <v>2</v>
      </c>
      <c r="G58" s="67" t="s">
        <v>1881</v>
      </c>
      <c r="H58" s="67">
        <v>2</v>
      </c>
      <c r="I58" s="67" t="s">
        <v>1890</v>
      </c>
      <c r="J58" s="67">
        <v>2</v>
      </c>
      <c r="K58" s="67"/>
      <c r="L58" s="67"/>
      <c r="M58" s="67"/>
      <c r="N58" s="67"/>
      <c r="O58" s="67" t="s">
        <v>1902</v>
      </c>
      <c r="P58" s="67">
        <v>2</v>
      </c>
      <c r="Q58" s="67" t="s">
        <v>1912</v>
      </c>
      <c r="R58" s="67">
        <v>2</v>
      </c>
      <c r="S58" s="67"/>
      <c r="T58" s="67"/>
      <c r="U58" s="67"/>
      <c r="V58" s="67"/>
    </row>
    <row r="59" spans="1:22" ht="15" customHeight="1">
      <c r="A59" s="136" t="s">
        <v>1865</v>
      </c>
      <c r="B59" s="67">
        <v>5</v>
      </c>
      <c r="C59" s="67" t="s">
        <v>1870</v>
      </c>
      <c r="D59" s="67">
        <v>3</v>
      </c>
      <c r="E59" s="67" t="s">
        <v>1877</v>
      </c>
      <c r="F59" s="67">
        <v>2</v>
      </c>
      <c r="G59" s="67" t="s">
        <v>1882</v>
      </c>
      <c r="H59" s="67">
        <v>2</v>
      </c>
      <c r="I59" s="67" t="s">
        <v>1891</v>
      </c>
      <c r="J59" s="67">
        <v>2</v>
      </c>
      <c r="K59" s="67"/>
      <c r="L59" s="67"/>
      <c r="M59" s="67"/>
      <c r="N59" s="67"/>
      <c r="O59" s="67" t="s">
        <v>1903</v>
      </c>
      <c r="P59" s="67">
        <v>2</v>
      </c>
      <c r="Q59" s="67" t="s">
        <v>1913</v>
      </c>
      <c r="R59" s="67">
        <v>2</v>
      </c>
      <c r="S59" s="67"/>
      <c r="T59" s="67"/>
      <c r="U59" s="67"/>
      <c r="V59" s="67"/>
    </row>
    <row r="60" spans="1:22" ht="15" customHeight="1">
      <c r="A60" s="136" t="s">
        <v>1866</v>
      </c>
      <c r="B60" s="67">
        <v>4</v>
      </c>
      <c r="C60" s="67" t="s">
        <v>1871</v>
      </c>
      <c r="D60" s="67">
        <v>2</v>
      </c>
      <c r="E60" s="67"/>
      <c r="F60" s="67"/>
      <c r="G60" s="67" t="s">
        <v>1883</v>
      </c>
      <c r="H60" s="67">
        <v>2</v>
      </c>
      <c r="I60" s="67" t="s">
        <v>1892</v>
      </c>
      <c r="J60" s="67">
        <v>2</v>
      </c>
      <c r="K60" s="67"/>
      <c r="L60" s="67"/>
      <c r="M60" s="67"/>
      <c r="N60" s="67"/>
      <c r="O60" s="67" t="s">
        <v>1904</v>
      </c>
      <c r="P60" s="67">
        <v>2</v>
      </c>
      <c r="Q60" s="67" t="s">
        <v>1914</v>
      </c>
      <c r="R60" s="67">
        <v>2</v>
      </c>
      <c r="S60" s="67"/>
      <c r="T60" s="67"/>
      <c r="U60" s="67"/>
      <c r="V60" s="67"/>
    </row>
    <row r="61" spans="1:22" ht="15" customHeight="1">
      <c r="A61" s="136" t="s">
        <v>1867</v>
      </c>
      <c r="B61" s="67">
        <v>4</v>
      </c>
      <c r="C61" s="67" t="s">
        <v>1872</v>
      </c>
      <c r="D61" s="67">
        <v>2</v>
      </c>
      <c r="E61" s="67"/>
      <c r="F61" s="67"/>
      <c r="G61" s="67" t="s">
        <v>1884</v>
      </c>
      <c r="H61" s="67">
        <v>2</v>
      </c>
      <c r="I61" s="67" t="s">
        <v>1893</v>
      </c>
      <c r="J61" s="67">
        <v>2</v>
      </c>
      <c r="K61" s="67"/>
      <c r="L61" s="67"/>
      <c r="M61" s="67"/>
      <c r="N61" s="67"/>
      <c r="O61" s="67" t="s">
        <v>1905</v>
      </c>
      <c r="P61" s="67">
        <v>2</v>
      </c>
      <c r="Q61" s="67" t="s">
        <v>1915</v>
      </c>
      <c r="R61" s="67">
        <v>2</v>
      </c>
      <c r="S61" s="67"/>
      <c r="T61" s="67"/>
      <c r="U61" s="67"/>
      <c r="V61" s="67"/>
    </row>
    <row r="62" spans="1:22" ht="15">
      <c r="A62" s="136" t="s">
        <v>1868</v>
      </c>
      <c r="B62" s="67">
        <v>3</v>
      </c>
      <c r="C62" s="67" t="s">
        <v>1873</v>
      </c>
      <c r="D62" s="67">
        <v>2</v>
      </c>
      <c r="E62" s="67"/>
      <c r="F62" s="67"/>
      <c r="G62" s="67" t="s">
        <v>1885</v>
      </c>
      <c r="H62" s="67">
        <v>2</v>
      </c>
      <c r="I62" s="67" t="s">
        <v>1894</v>
      </c>
      <c r="J62" s="67">
        <v>2</v>
      </c>
      <c r="K62" s="67"/>
      <c r="L62" s="67"/>
      <c r="M62" s="67"/>
      <c r="N62" s="67"/>
      <c r="O62" s="67" t="s">
        <v>1906</v>
      </c>
      <c r="P62" s="67">
        <v>2</v>
      </c>
      <c r="Q62" s="67" t="s">
        <v>1916</v>
      </c>
      <c r="R62" s="67">
        <v>2</v>
      </c>
      <c r="S62" s="67"/>
      <c r="T62" s="67"/>
      <c r="U62" s="67"/>
      <c r="V62" s="67"/>
    </row>
    <row r="63" spans="1:22" ht="15" customHeight="1">
      <c r="A63" s="136" t="s">
        <v>1869</v>
      </c>
      <c r="B63" s="67">
        <v>3</v>
      </c>
      <c r="C63" s="67" t="s">
        <v>1874</v>
      </c>
      <c r="D63" s="67">
        <v>2</v>
      </c>
      <c r="E63" s="67"/>
      <c r="F63" s="67"/>
      <c r="G63" s="67" t="s">
        <v>1886</v>
      </c>
      <c r="H63" s="67">
        <v>2</v>
      </c>
      <c r="I63" s="67" t="s">
        <v>1895</v>
      </c>
      <c r="J63" s="67">
        <v>2</v>
      </c>
      <c r="K63" s="67"/>
      <c r="L63" s="67"/>
      <c r="M63" s="67"/>
      <c r="N63" s="67"/>
      <c r="O63" s="67" t="s">
        <v>1907</v>
      </c>
      <c r="P63" s="67">
        <v>2</v>
      </c>
      <c r="Q63" s="67" t="s">
        <v>1917</v>
      </c>
      <c r="R63" s="67">
        <v>2</v>
      </c>
      <c r="S63" s="67"/>
      <c r="T63" s="67"/>
      <c r="U63" s="67"/>
      <c r="V63" s="67"/>
    </row>
    <row r="64" ht="15" customHeight="1"/>
    <row r="65" ht="15" customHeight="1"/>
    <row r="66" spans="1:22" ht="15" customHeight="1">
      <c r="A66" s="13" t="s">
        <v>233</v>
      </c>
      <c r="B66" s="13" t="s">
        <v>223</v>
      </c>
      <c r="C66" s="13" t="s">
        <v>708</v>
      </c>
      <c r="D66" s="13" t="s">
        <v>698</v>
      </c>
      <c r="E66" s="13" t="s">
        <v>709</v>
      </c>
      <c r="F66" s="13" t="s">
        <v>699</v>
      </c>
      <c r="G66" s="63" t="s">
        <v>875</v>
      </c>
      <c r="H66" s="63" t="s">
        <v>829</v>
      </c>
      <c r="I66" s="13" t="s">
        <v>877</v>
      </c>
      <c r="J66" s="13" t="s">
        <v>831</v>
      </c>
      <c r="K66" s="13" t="s">
        <v>879</v>
      </c>
      <c r="L66" s="13" t="s">
        <v>833</v>
      </c>
      <c r="M66" s="13" t="s">
        <v>881</v>
      </c>
      <c r="N66" s="13" t="s">
        <v>835</v>
      </c>
      <c r="O66" s="63" t="s">
        <v>883</v>
      </c>
      <c r="P66" s="63" t="s">
        <v>837</v>
      </c>
      <c r="Q66" s="63" t="s">
        <v>885</v>
      </c>
      <c r="R66" s="63" t="s">
        <v>839</v>
      </c>
      <c r="S66" s="13" t="s">
        <v>887</v>
      </c>
      <c r="T66" s="13" t="s">
        <v>841</v>
      </c>
      <c r="U66" s="13" t="s">
        <v>889</v>
      </c>
      <c r="V66" s="13" t="s">
        <v>842</v>
      </c>
    </row>
    <row r="67" spans="1:22" ht="15">
      <c r="A67" s="63" t="s">
        <v>929</v>
      </c>
      <c r="B67" s="63">
        <v>3</v>
      </c>
      <c r="C67" s="63" t="s">
        <v>929</v>
      </c>
      <c r="D67" s="63">
        <v>3</v>
      </c>
      <c r="E67" s="63" t="s">
        <v>962</v>
      </c>
      <c r="F67" s="63">
        <v>1</v>
      </c>
      <c r="G67" s="63"/>
      <c r="H67" s="63"/>
      <c r="I67" s="63" t="s">
        <v>953</v>
      </c>
      <c r="J67" s="63">
        <v>3</v>
      </c>
      <c r="K67" s="63" t="s">
        <v>950</v>
      </c>
      <c r="L67" s="63">
        <v>1</v>
      </c>
      <c r="M67" s="63" t="s">
        <v>943</v>
      </c>
      <c r="N67" s="63">
        <v>1</v>
      </c>
      <c r="O67" s="63"/>
      <c r="P67" s="63"/>
      <c r="Q67" s="63"/>
      <c r="R67" s="63"/>
      <c r="S67" s="63" t="s">
        <v>956</v>
      </c>
      <c r="T67" s="63">
        <v>1</v>
      </c>
      <c r="U67" s="63" t="s">
        <v>951</v>
      </c>
      <c r="V67" s="63">
        <v>1</v>
      </c>
    </row>
    <row r="68" spans="1:22" ht="15">
      <c r="A68" s="64" t="s">
        <v>953</v>
      </c>
      <c r="B68" s="63">
        <v>3</v>
      </c>
      <c r="C68" s="63" t="s">
        <v>934</v>
      </c>
      <c r="D68" s="63">
        <v>2</v>
      </c>
      <c r="E68" s="63"/>
      <c r="F68" s="63"/>
      <c r="G68" s="63"/>
      <c r="H68" s="63"/>
      <c r="I68" s="63" t="s">
        <v>952</v>
      </c>
      <c r="J68" s="63">
        <v>2</v>
      </c>
      <c r="K68" s="63" t="s">
        <v>947</v>
      </c>
      <c r="L68" s="63">
        <v>1</v>
      </c>
      <c r="M68" s="63" t="s">
        <v>940</v>
      </c>
      <c r="N68" s="63">
        <v>1</v>
      </c>
      <c r="O68" s="63"/>
      <c r="P68" s="63"/>
      <c r="Q68" s="63"/>
      <c r="R68" s="63"/>
      <c r="S68" s="63"/>
      <c r="T68" s="63"/>
      <c r="U68" s="63"/>
      <c r="V68" s="63"/>
    </row>
    <row r="69" spans="1:22" ht="15" customHeight="1">
      <c r="A69" s="64" t="s">
        <v>934</v>
      </c>
      <c r="B69" s="63">
        <v>2</v>
      </c>
      <c r="C69" s="63" t="s">
        <v>926</v>
      </c>
      <c r="D69" s="63">
        <v>2</v>
      </c>
      <c r="E69" s="63"/>
      <c r="F69" s="63"/>
      <c r="G69" s="63"/>
      <c r="H69" s="63"/>
      <c r="I69" s="63"/>
      <c r="J69" s="63"/>
      <c r="K69" s="63" t="s">
        <v>948</v>
      </c>
      <c r="L69" s="63">
        <v>1</v>
      </c>
      <c r="M69" s="63"/>
      <c r="N69" s="63"/>
      <c r="O69" s="63"/>
      <c r="P69" s="63"/>
      <c r="Q69" s="63"/>
      <c r="R69" s="63"/>
      <c r="S69" s="63"/>
      <c r="T69" s="63"/>
      <c r="U69" s="63"/>
      <c r="V69" s="63"/>
    </row>
    <row r="70" spans="1:22" ht="15" customHeight="1">
      <c r="A70" s="64" t="s">
        <v>957</v>
      </c>
      <c r="B70" s="63">
        <v>2</v>
      </c>
      <c r="C70" s="63" t="s">
        <v>957</v>
      </c>
      <c r="D70" s="63">
        <v>2</v>
      </c>
      <c r="E70" s="63"/>
      <c r="F70" s="63"/>
      <c r="G70" s="63"/>
      <c r="H70" s="63"/>
      <c r="I70" s="63"/>
      <c r="J70" s="63"/>
      <c r="K70" s="63"/>
      <c r="L70" s="63"/>
      <c r="M70" s="63"/>
      <c r="N70" s="63"/>
      <c r="O70" s="63"/>
      <c r="P70" s="63"/>
      <c r="Q70" s="63"/>
      <c r="R70" s="63"/>
      <c r="S70" s="63"/>
      <c r="T70" s="63"/>
      <c r="U70" s="63"/>
      <c r="V70" s="63"/>
    </row>
    <row r="71" spans="1:22" ht="15" customHeight="1">
      <c r="A71" s="64" t="s">
        <v>926</v>
      </c>
      <c r="B71" s="63">
        <v>2</v>
      </c>
      <c r="C71" s="63" t="s">
        <v>922</v>
      </c>
      <c r="D71" s="63">
        <v>1</v>
      </c>
      <c r="E71" s="63"/>
      <c r="F71" s="63"/>
      <c r="G71" s="63"/>
      <c r="H71" s="63"/>
      <c r="I71" s="63"/>
      <c r="J71" s="63"/>
      <c r="K71" s="63"/>
      <c r="L71" s="63"/>
      <c r="M71" s="63"/>
      <c r="N71" s="63"/>
      <c r="O71" s="63"/>
      <c r="P71" s="63"/>
      <c r="Q71" s="63"/>
      <c r="R71" s="63"/>
      <c r="S71" s="63"/>
      <c r="T71" s="63"/>
      <c r="U71" s="63"/>
      <c r="V71" s="63"/>
    </row>
    <row r="72" spans="1:22" ht="15" customHeight="1">
      <c r="A72" s="64" t="s">
        <v>952</v>
      </c>
      <c r="B72" s="63">
        <v>2</v>
      </c>
      <c r="C72" s="63" t="s">
        <v>924</v>
      </c>
      <c r="D72" s="63">
        <v>1</v>
      </c>
      <c r="E72" s="63"/>
      <c r="F72" s="63"/>
      <c r="G72" s="63"/>
      <c r="H72" s="63"/>
      <c r="I72" s="63"/>
      <c r="J72" s="63"/>
      <c r="K72" s="63"/>
      <c r="L72" s="63"/>
      <c r="M72" s="63"/>
      <c r="N72" s="63"/>
      <c r="O72" s="63"/>
      <c r="P72" s="63"/>
      <c r="Q72" s="63"/>
      <c r="R72" s="63"/>
      <c r="S72" s="63"/>
      <c r="T72" s="63"/>
      <c r="U72" s="63"/>
      <c r="V72" s="63"/>
    </row>
    <row r="73" spans="1:22" ht="15">
      <c r="A73" s="64" t="s">
        <v>962</v>
      </c>
      <c r="B73" s="63">
        <v>1</v>
      </c>
      <c r="C73" s="63" t="s">
        <v>925</v>
      </c>
      <c r="D73" s="63">
        <v>1</v>
      </c>
      <c r="E73" s="63"/>
      <c r="F73" s="63"/>
      <c r="G73" s="63"/>
      <c r="H73" s="63"/>
      <c r="I73" s="63"/>
      <c r="J73" s="63"/>
      <c r="K73" s="63"/>
      <c r="L73" s="63"/>
      <c r="M73" s="63"/>
      <c r="N73" s="63"/>
      <c r="O73" s="63"/>
      <c r="P73" s="63"/>
      <c r="Q73" s="63"/>
      <c r="R73" s="63"/>
      <c r="S73" s="63"/>
      <c r="T73" s="63"/>
      <c r="U73" s="63"/>
      <c r="V73" s="63"/>
    </row>
    <row r="74" spans="1:22" ht="15" customHeight="1">
      <c r="A74" s="64" t="s">
        <v>931</v>
      </c>
      <c r="B74" s="63">
        <v>1</v>
      </c>
      <c r="C74" s="63" t="s">
        <v>927</v>
      </c>
      <c r="D74" s="63">
        <v>1</v>
      </c>
      <c r="E74" s="63"/>
      <c r="F74" s="63"/>
      <c r="G74" s="63"/>
      <c r="H74" s="63"/>
      <c r="I74" s="63"/>
      <c r="J74" s="63"/>
      <c r="K74" s="63"/>
      <c r="L74" s="63"/>
      <c r="M74" s="63"/>
      <c r="N74" s="63"/>
      <c r="O74" s="63"/>
      <c r="P74" s="63"/>
      <c r="Q74" s="63"/>
      <c r="R74" s="63"/>
      <c r="S74" s="63"/>
      <c r="T74" s="63"/>
      <c r="U74" s="63"/>
      <c r="V74" s="63"/>
    </row>
    <row r="75" spans="1:22" ht="15" customHeight="1">
      <c r="A75" s="64" t="s">
        <v>928</v>
      </c>
      <c r="B75" s="63">
        <v>1</v>
      </c>
      <c r="C75" s="63" t="s">
        <v>928</v>
      </c>
      <c r="D75" s="63">
        <v>1</v>
      </c>
      <c r="E75" s="63"/>
      <c r="F75" s="63"/>
      <c r="G75" s="63"/>
      <c r="H75" s="63"/>
      <c r="I75" s="63"/>
      <c r="J75" s="63"/>
      <c r="K75" s="63"/>
      <c r="L75" s="63"/>
      <c r="M75" s="63"/>
      <c r="N75" s="63"/>
      <c r="O75" s="63"/>
      <c r="P75" s="63"/>
      <c r="Q75" s="63"/>
      <c r="R75" s="63"/>
      <c r="S75" s="63"/>
      <c r="T75" s="63"/>
      <c r="U75" s="63"/>
      <c r="V75" s="63"/>
    </row>
    <row r="76" spans="1:22" ht="15" customHeight="1">
      <c r="A76" s="64" t="s">
        <v>927</v>
      </c>
      <c r="B76" s="63">
        <v>1</v>
      </c>
      <c r="C76" s="63" t="s">
        <v>931</v>
      </c>
      <c r="D76" s="63">
        <v>1</v>
      </c>
      <c r="E76" s="63"/>
      <c r="F76" s="63"/>
      <c r="G76" s="63"/>
      <c r="H76" s="63"/>
      <c r="I76" s="63"/>
      <c r="J76" s="63"/>
      <c r="K76" s="63"/>
      <c r="L76" s="63"/>
      <c r="M76" s="63"/>
      <c r="N76" s="63"/>
      <c r="O76" s="63"/>
      <c r="P76" s="63"/>
      <c r="Q76" s="63"/>
      <c r="R76" s="63"/>
      <c r="S76" s="63"/>
      <c r="T76" s="63"/>
      <c r="U76" s="63"/>
      <c r="V76" s="63"/>
    </row>
    <row r="77" ht="15" customHeight="1"/>
    <row r="79" spans="1:22" ht="15" customHeight="1">
      <c r="A79" s="13" t="s">
        <v>234</v>
      </c>
      <c r="B79" s="13" t="s">
        <v>223</v>
      </c>
      <c r="C79" s="13" t="s">
        <v>710</v>
      </c>
      <c r="D79" s="13" t="s">
        <v>698</v>
      </c>
      <c r="E79" s="13" t="s">
        <v>711</v>
      </c>
      <c r="F79" s="13" t="s">
        <v>699</v>
      </c>
      <c r="G79" s="13" t="s">
        <v>876</v>
      </c>
      <c r="H79" s="13" t="s">
        <v>829</v>
      </c>
      <c r="I79" s="13" t="s">
        <v>878</v>
      </c>
      <c r="J79" s="13" t="s">
        <v>831</v>
      </c>
      <c r="K79" s="13" t="s">
        <v>880</v>
      </c>
      <c r="L79" s="13" t="s">
        <v>833</v>
      </c>
      <c r="M79" s="13" t="s">
        <v>882</v>
      </c>
      <c r="N79" s="13" t="s">
        <v>835</v>
      </c>
      <c r="O79" s="13" t="s">
        <v>884</v>
      </c>
      <c r="P79" s="13" t="s">
        <v>837</v>
      </c>
      <c r="Q79" s="13" t="s">
        <v>886</v>
      </c>
      <c r="R79" s="13" t="s">
        <v>839</v>
      </c>
      <c r="S79" s="13" t="s">
        <v>888</v>
      </c>
      <c r="T79" s="13" t="s">
        <v>841</v>
      </c>
      <c r="U79" s="63" t="s">
        <v>890</v>
      </c>
      <c r="V79" s="63" t="s">
        <v>842</v>
      </c>
    </row>
    <row r="80" spans="1:22" ht="15">
      <c r="A80" s="63" t="s">
        <v>958</v>
      </c>
      <c r="B80" s="63">
        <v>14</v>
      </c>
      <c r="C80" s="63" t="s">
        <v>958</v>
      </c>
      <c r="D80" s="63">
        <v>14</v>
      </c>
      <c r="E80" s="63" t="s">
        <v>963</v>
      </c>
      <c r="F80" s="63">
        <v>11</v>
      </c>
      <c r="G80" s="63" t="s">
        <v>933</v>
      </c>
      <c r="H80" s="63">
        <v>2</v>
      </c>
      <c r="I80" s="63" t="s">
        <v>937</v>
      </c>
      <c r="J80" s="63">
        <v>1</v>
      </c>
      <c r="K80" s="63" t="s">
        <v>949</v>
      </c>
      <c r="L80" s="63">
        <v>1</v>
      </c>
      <c r="M80" s="63" t="s">
        <v>333</v>
      </c>
      <c r="N80" s="63">
        <v>2</v>
      </c>
      <c r="O80" s="63" t="s">
        <v>939</v>
      </c>
      <c r="P80" s="63">
        <v>1</v>
      </c>
      <c r="Q80" s="63" t="s">
        <v>904</v>
      </c>
      <c r="R80" s="63">
        <v>1</v>
      </c>
      <c r="S80" s="63" t="s">
        <v>955</v>
      </c>
      <c r="T80" s="63">
        <v>1</v>
      </c>
      <c r="U80" s="63"/>
      <c r="V80" s="63"/>
    </row>
    <row r="81" spans="1:22" ht="15">
      <c r="A81" s="64" t="s">
        <v>963</v>
      </c>
      <c r="B81" s="63">
        <v>11</v>
      </c>
      <c r="C81" s="63" t="s">
        <v>929</v>
      </c>
      <c r="D81" s="63">
        <v>3</v>
      </c>
      <c r="E81" s="63" t="s">
        <v>333</v>
      </c>
      <c r="F81" s="63">
        <v>2</v>
      </c>
      <c r="G81" s="63" t="s">
        <v>930</v>
      </c>
      <c r="H81" s="63">
        <v>1</v>
      </c>
      <c r="I81" s="63" t="s">
        <v>913</v>
      </c>
      <c r="J81" s="63">
        <v>1</v>
      </c>
      <c r="K81" s="63" t="s">
        <v>946</v>
      </c>
      <c r="L81" s="63">
        <v>1</v>
      </c>
      <c r="M81" s="63" t="s">
        <v>942</v>
      </c>
      <c r="N81" s="63">
        <v>2</v>
      </c>
      <c r="O81" s="63" t="s">
        <v>917</v>
      </c>
      <c r="P81" s="63">
        <v>1</v>
      </c>
      <c r="Q81" s="63" t="s">
        <v>944</v>
      </c>
      <c r="R81" s="63">
        <v>1</v>
      </c>
      <c r="S81" s="63"/>
      <c r="T81" s="63"/>
      <c r="U81" s="63"/>
      <c r="V81" s="63"/>
    </row>
    <row r="82" spans="1:22" ht="15">
      <c r="A82" s="64" t="s">
        <v>333</v>
      </c>
      <c r="B82" s="63">
        <v>4</v>
      </c>
      <c r="C82" s="63" t="s">
        <v>922</v>
      </c>
      <c r="D82" s="63">
        <v>1</v>
      </c>
      <c r="E82" s="63" t="s">
        <v>954</v>
      </c>
      <c r="F82" s="63">
        <v>2</v>
      </c>
      <c r="G82" s="63" t="s">
        <v>920</v>
      </c>
      <c r="H82" s="63">
        <v>1</v>
      </c>
      <c r="I82" s="63" t="s">
        <v>914</v>
      </c>
      <c r="J82" s="63">
        <v>1</v>
      </c>
      <c r="K82" s="63"/>
      <c r="L82" s="63"/>
      <c r="M82" s="63" t="s">
        <v>941</v>
      </c>
      <c r="N82" s="63">
        <v>2</v>
      </c>
      <c r="O82" s="63" t="s">
        <v>919</v>
      </c>
      <c r="P82" s="63">
        <v>1</v>
      </c>
      <c r="Q82" s="63"/>
      <c r="R82" s="63"/>
      <c r="S82" s="63"/>
      <c r="T82" s="63"/>
      <c r="U82" s="63"/>
      <c r="V82" s="63"/>
    </row>
    <row r="83" spans="1:22" ht="15" customHeight="1">
      <c r="A83" s="64" t="s">
        <v>929</v>
      </c>
      <c r="B83" s="63">
        <v>3</v>
      </c>
      <c r="C83" s="63" t="s">
        <v>924</v>
      </c>
      <c r="D83" s="63">
        <v>1</v>
      </c>
      <c r="E83" s="63" t="s">
        <v>959</v>
      </c>
      <c r="F83" s="63">
        <v>1</v>
      </c>
      <c r="G83" s="63" t="s">
        <v>910</v>
      </c>
      <c r="H83" s="63">
        <v>1</v>
      </c>
      <c r="I83" s="63"/>
      <c r="J83" s="63"/>
      <c r="K83" s="63"/>
      <c r="L83" s="63"/>
      <c r="M83" s="63" t="s">
        <v>940</v>
      </c>
      <c r="N83" s="63">
        <v>1</v>
      </c>
      <c r="O83" s="63"/>
      <c r="P83" s="63"/>
      <c r="Q83" s="63"/>
      <c r="R83" s="63"/>
      <c r="S83" s="63"/>
      <c r="T83" s="63"/>
      <c r="U83" s="63"/>
      <c r="V83" s="63"/>
    </row>
    <row r="84" spans="1:22" ht="15" customHeight="1">
      <c r="A84" s="64" t="s">
        <v>933</v>
      </c>
      <c r="B84" s="63">
        <v>2</v>
      </c>
      <c r="C84" s="63" t="s">
        <v>925</v>
      </c>
      <c r="D84" s="63">
        <v>1</v>
      </c>
      <c r="E84" s="63" t="s">
        <v>960</v>
      </c>
      <c r="F84" s="63">
        <v>1</v>
      </c>
      <c r="G84" s="63"/>
      <c r="H84" s="63"/>
      <c r="I84" s="63"/>
      <c r="J84" s="63"/>
      <c r="K84" s="63"/>
      <c r="L84" s="63"/>
      <c r="M84" s="63" t="s">
        <v>943</v>
      </c>
      <c r="N84" s="63">
        <v>1</v>
      </c>
      <c r="O84" s="63"/>
      <c r="P84" s="63"/>
      <c r="Q84" s="63"/>
      <c r="R84" s="63"/>
      <c r="S84" s="63"/>
      <c r="T84" s="63"/>
      <c r="U84" s="63"/>
      <c r="V84" s="63"/>
    </row>
    <row r="85" spans="1:22" ht="15" customHeight="1">
      <c r="A85" s="64" t="s">
        <v>954</v>
      </c>
      <c r="B85" s="63">
        <v>2</v>
      </c>
      <c r="C85" s="63" t="s">
        <v>926</v>
      </c>
      <c r="D85" s="63">
        <v>1</v>
      </c>
      <c r="E85" s="63" t="s">
        <v>961</v>
      </c>
      <c r="F85" s="63">
        <v>1</v>
      </c>
      <c r="G85" s="63"/>
      <c r="H85" s="63"/>
      <c r="I85" s="63"/>
      <c r="J85" s="63"/>
      <c r="K85" s="63"/>
      <c r="L85" s="63"/>
      <c r="M85" s="63"/>
      <c r="N85" s="63"/>
      <c r="O85" s="63"/>
      <c r="P85" s="63"/>
      <c r="Q85" s="63"/>
      <c r="R85" s="63"/>
      <c r="S85" s="63"/>
      <c r="T85" s="63"/>
      <c r="U85" s="63"/>
      <c r="V85" s="63"/>
    </row>
    <row r="86" spans="1:22" ht="15">
      <c r="A86" s="64" t="s">
        <v>942</v>
      </c>
      <c r="B86" s="63">
        <v>2</v>
      </c>
      <c r="C86" s="63" t="s">
        <v>927</v>
      </c>
      <c r="D86" s="63">
        <v>1</v>
      </c>
      <c r="E86" s="63" t="s">
        <v>915</v>
      </c>
      <c r="F86" s="63">
        <v>1</v>
      </c>
      <c r="G86" s="63"/>
      <c r="H86" s="63"/>
      <c r="I86" s="63"/>
      <c r="J86" s="63"/>
      <c r="K86" s="63"/>
      <c r="L86" s="63"/>
      <c r="M86" s="63"/>
      <c r="N86" s="63"/>
      <c r="O86" s="63"/>
      <c r="P86" s="63"/>
      <c r="Q86" s="63"/>
      <c r="R86" s="63"/>
      <c r="S86" s="63"/>
      <c r="T86" s="63"/>
      <c r="U86" s="63"/>
      <c r="V86" s="63"/>
    </row>
    <row r="87" spans="1:22" ht="15" customHeight="1">
      <c r="A87" s="64" t="s">
        <v>941</v>
      </c>
      <c r="B87" s="63">
        <v>2</v>
      </c>
      <c r="C87" s="63" t="s">
        <v>928</v>
      </c>
      <c r="D87" s="63">
        <v>1</v>
      </c>
      <c r="E87" s="63"/>
      <c r="F87" s="63"/>
      <c r="G87" s="63"/>
      <c r="H87" s="63"/>
      <c r="I87" s="63"/>
      <c r="J87" s="63"/>
      <c r="K87" s="63"/>
      <c r="L87" s="63"/>
      <c r="M87" s="63"/>
      <c r="N87" s="63"/>
      <c r="O87" s="63"/>
      <c r="P87" s="63"/>
      <c r="Q87" s="63"/>
      <c r="R87" s="63"/>
      <c r="S87" s="63"/>
      <c r="T87" s="63"/>
      <c r="U87" s="63"/>
      <c r="V87" s="63"/>
    </row>
    <row r="88" spans="1:22" ht="15" customHeight="1">
      <c r="A88" s="64" t="s">
        <v>961</v>
      </c>
      <c r="B88" s="63">
        <v>1</v>
      </c>
      <c r="C88" s="63" t="s">
        <v>931</v>
      </c>
      <c r="D88" s="63">
        <v>1</v>
      </c>
      <c r="E88" s="63"/>
      <c r="F88" s="63"/>
      <c r="G88" s="63"/>
      <c r="H88" s="63"/>
      <c r="I88" s="63"/>
      <c r="J88" s="63"/>
      <c r="K88" s="63"/>
      <c r="L88" s="63"/>
      <c r="M88" s="63"/>
      <c r="N88" s="63"/>
      <c r="O88" s="63"/>
      <c r="P88" s="63"/>
      <c r="Q88" s="63"/>
      <c r="R88" s="63"/>
      <c r="S88" s="63"/>
      <c r="T88" s="63"/>
      <c r="U88" s="63"/>
      <c r="V88" s="63"/>
    </row>
    <row r="89" spans="1:22" ht="15" customHeight="1">
      <c r="A89" s="64" t="s">
        <v>960</v>
      </c>
      <c r="B89" s="63">
        <v>1</v>
      </c>
      <c r="C89" s="63" t="s">
        <v>934</v>
      </c>
      <c r="D89" s="63">
        <v>1</v>
      </c>
      <c r="E89" s="63"/>
      <c r="F89" s="63"/>
      <c r="G89" s="63"/>
      <c r="H89" s="63"/>
      <c r="I89" s="63"/>
      <c r="J89" s="63"/>
      <c r="K89" s="63"/>
      <c r="L89" s="63"/>
      <c r="M89" s="63"/>
      <c r="N89" s="63"/>
      <c r="O89" s="63"/>
      <c r="P89" s="63"/>
      <c r="Q89" s="63"/>
      <c r="R89" s="63"/>
      <c r="S89" s="63"/>
      <c r="T89" s="63"/>
      <c r="U89" s="63"/>
      <c r="V89" s="63"/>
    </row>
    <row r="90" ht="15" customHeight="1"/>
    <row r="92" spans="1:22" ht="15" customHeight="1">
      <c r="A92" s="13" t="s">
        <v>237</v>
      </c>
      <c r="B92" s="13" t="s">
        <v>223</v>
      </c>
      <c r="C92" s="13" t="s">
        <v>712</v>
      </c>
      <c r="D92" s="13" t="s">
        <v>698</v>
      </c>
      <c r="E92" s="13" t="s">
        <v>713</v>
      </c>
      <c r="F92" s="13" t="s">
        <v>699</v>
      </c>
      <c r="G92" s="13" t="s">
        <v>891</v>
      </c>
      <c r="H92" s="13" t="s">
        <v>829</v>
      </c>
      <c r="I92" s="13" t="s">
        <v>892</v>
      </c>
      <c r="J92" s="13" t="s">
        <v>831</v>
      </c>
      <c r="K92" s="13" t="s">
        <v>893</v>
      </c>
      <c r="L92" s="13" t="s">
        <v>833</v>
      </c>
      <c r="M92" s="13" t="s">
        <v>894</v>
      </c>
      <c r="N92" s="13" t="s">
        <v>835</v>
      </c>
      <c r="O92" s="13" t="s">
        <v>895</v>
      </c>
      <c r="P92" s="13" t="s">
        <v>837</v>
      </c>
      <c r="Q92" s="13" t="s">
        <v>896</v>
      </c>
      <c r="R92" s="13" t="s">
        <v>839</v>
      </c>
      <c r="S92" s="13" t="s">
        <v>897</v>
      </c>
      <c r="T92" s="13" t="s">
        <v>841</v>
      </c>
      <c r="U92" s="13" t="s">
        <v>898</v>
      </c>
      <c r="V92" s="13" t="s">
        <v>842</v>
      </c>
    </row>
    <row r="93" spans="1:22" ht="15">
      <c r="A93" s="96" t="s">
        <v>939</v>
      </c>
      <c r="B93" s="63">
        <v>984366</v>
      </c>
      <c r="C93" s="96" t="s">
        <v>958</v>
      </c>
      <c r="D93" s="63">
        <v>469090</v>
      </c>
      <c r="E93" s="96" t="s">
        <v>961</v>
      </c>
      <c r="F93" s="63">
        <v>522204</v>
      </c>
      <c r="G93" s="96" t="s">
        <v>930</v>
      </c>
      <c r="H93" s="63">
        <v>62558</v>
      </c>
      <c r="I93" s="96" t="s">
        <v>913</v>
      </c>
      <c r="J93" s="63">
        <v>56327</v>
      </c>
      <c r="K93" s="96" t="s">
        <v>946</v>
      </c>
      <c r="L93" s="63">
        <v>56428</v>
      </c>
      <c r="M93" s="96" t="s">
        <v>941</v>
      </c>
      <c r="N93" s="63">
        <v>317456</v>
      </c>
      <c r="O93" s="96" t="s">
        <v>939</v>
      </c>
      <c r="P93" s="63">
        <v>984366</v>
      </c>
      <c r="Q93" s="96" t="s">
        <v>944</v>
      </c>
      <c r="R93" s="63">
        <v>1221</v>
      </c>
      <c r="S93" s="96" t="s">
        <v>955</v>
      </c>
      <c r="T93" s="63">
        <v>22671</v>
      </c>
      <c r="U93" s="96" t="s">
        <v>951</v>
      </c>
      <c r="V93" s="63">
        <v>49141</v>
      </c>
    </row>
    <row r="94" spans="1:22" ht="15">
      <c r="A94" s="125" t="s">
        <v>961</v>
      </c>
      <c r="B94" s="63">
        <v>522204</v>
      </c>
      <c r="C94" s="96" t="s">
        <v>931</v>
      </c>
      <c r="D94" s="63">
        <v>21475</v>
      </c>
      <c r="E94" s="96" t="s">
        <v>963</v>
      </c>
      <c r="F94" s="63">
        <v>349540</v>
      </c>
      <c r="G94" s="96" t="s">
        <v>910</v>
      </c>
      <c r="H94" s="63">
        <v>49398</v>
      </c>
      <c r="I94" s="96" t="s">
        <v>937</v>
      </c>
      <c r="J94" s="63">
        <v>56039</v>
      </c>
      <c r="K94" s="96" t="s">
        <v>948</v>
      </c>
      <c r="L94" s="63">
        <v>6319</v>
      </c>
      <c r="M94" s="96" t="s">
        <v>943</v>
      </c>
      <c r="N94" s="63">
        <v>238120</v>
      </c>
      <c r="O94" s="96" t="s">
        <v>917</v>
      </c>
      <c r="P94" s="63">
        <v>19390</v>
      </c>
      <c r="Q94" s="96" t="s">
        <v>904</v>
      </c>
      <c r="R94" s="63">
        <v>137</v>
      </c>
      <c r="S94" s="96" t="s">
        <v>956</v>
      </c>
      <c r="T94" s="63">
        <v>2753</v>
      </c>
      <c r="U94" s="96" t="s">
        <v>908</v>
      </c>
      <c r="V94" s="63">
        <v>18</v>
      </c>
    </row>
    <row r="95" spans="1:22" ht="15">
      <c r="A95" s="125" t="s">
        <v>958</v>
      </c>
      <c r="B95" s="63">
        <v>469090</v>
      </c>
      <c r="C95" s="96" t="s">
        <v>957</v>
      </c>
      <c r="D95" s="63">
        <v>8934</v>
      </c>
      <c r="E95" s="96" t="s">
        <v>954</v>
      </c>
      <c r="F95" s="63">
        <v>213421</v>
      </c>
      <c r="G95" s="96" t="s">
        <v>920</v>
      </c>
      <c r="H95" s="63">
        <v>38630</v>
      </c>
      <c r="I95" s="96" t="s">
        <v>914</v>
      </c>
      <c r="J95" s="63">
        <v>35564</v>
      </c>
      <c r="K95" s="96" t="s">
        <v>950</v>
      </c>
      <c r="L95" s="63">
        <v>1919</v>
      </c>
      <c r="M95" s="96" t="s">
        <v>903</v>
      </c>
      <c r="N95" s="63">
        <v>176742</v>
      </c>
      <c r="O95" s="96" t="s">
        <v>919</v>
      </c>
      <c r="P95" s="63">
        <v>82</v>
      </c>
      <c r="Q95" s="96" t="s">
        <v>936</v>
      </c>
      <c r="R95" s="63">
        <v>19</v>
      </c>
      <c r="S95" s="96" t="s">
        <v>916</v>
      </c>
      <c r="T95" s="63">
        <v>142</v>
      </c>
      <c r="U95" s="96"/>
      <c r="V95" s="63"/>
    </row>
    <row r="96" spans="1:22" ht="15">
      <c r="A96" s="125" t="s">
        <v>963</v>
      </c>
      <c r="B96" s="63">
        <v>349540</v>
      </c>
      <c r="C96" s="96" t="s">
        <v>924</v>
      </c>
      <c r="D96" s="63">
        <v>7457</v>
      </c>
      <c r="E96" s="96" t="s">
        <v>333</v>
      </c>
      <c r="F96" s="63">
        <v>167343</v>
      </c>
      <c r="G96" s="96" t="s">
        <v>933</v>
      </c>
      <c r="H96" s="63">
        <v>10922</v>
      </c>
      <c r="I96" s="96" t="s">
        <v>953</v>
      </c>
      <c r="J96" s="63">
        <v>9787</v>
      </c>
      <c r="K96" s="96" t="s">
        <v>949</v>
      </c>
      <c r="L96" s="63">
        <v>1429</v>
      </c>
      <c r="M96" s="96" t="s">
        <v>942</v>
      </c>
      <c r="N96" s="63">
        <v>103789</v>
      </c>
      <c r="O96" s="96" t="s">
        <v>918</v>
      </c>
      <c r="P96" s="63">
        <v>20</v>
      </c>
      <c r="Q96" s="96"/>
      <c r="R96" s="63"/>
      <c r="S96" s="96"/>
      <c r="T96" s="63"/>
      <c r="U96" s="96"/>
      <c r="V96" s="63"/>
    </row>
    <row r="97" spans="1:22" ht="15">
      <c r="A97" s="125" t="s">
        <v>941</v>
      </c>
      <c r="B97" s="63">
        <v>317456</v>
      </c>
      <c r="C97" s="96" t="s">
        <v>926</v>
      </c>
      <c r="D97" s="63">
        <v>6338</v>
      </c>
      <c r="E97" s="96" t="s">
        <v>915</v>
      </c>
      <c r="F97" s="63">
        <v>57786</v>
      </c>
      <c r="G97" s="96" t="s">
        <v>921</v>
      </c>
      <c r="H97" s="63">
        <v>8154</v>
      </c>
      <c r="I97" s="96" t="s">
        <v>952</v>
      </c>
      <c r="J97" s="63">
        <v>588</v>
      </c>
      <c r="K97" s="96" t="s">
        <v>947</v>
      </c>
      <c r="L97" s="63">
        <v>770</v>
      </c>
      <c r="M97" s="96" t="s">
        <v>940</v>
      </c>
      <c r="N97" s="63">
        <v>19518</v>
      </c>
      <c r="O97" s="96"/>
      <c r="P97" s="63"/>
      <c r="Q97" s="96"/>
      <c r="R97" s="63"/>
      <c r="S97" s="96"/>
      <c r="T97" s="63"/>
      <c r="U97" s="96"/>
      <c r="V97" s="63"/>
    </row>
    <row r="98" spans="1:22" ht="15">
      <c r="A98" s="125" t="s">
        <v>943</v>
      </c>
      <c r="B98" s="63">
        <v>238120</v>
      </c>
      <c r="C98" s="96" t="s">
        <v>925</v>
      </c>
      <c r="D98" s="63">
        <v>5335</v>
      </c>
      <c r="E98" s="96" t="s">
        <v>960</v>
      </c>
      <c r="F98" s="63">
        <v>53254</v>
      </c>
      <c r="G98" s="96" t="s">
        <v>932</v>
      </c>
      <c r="H98" s="63">
        <v>7952</v>
      </c>
      <c r="I98" s="96" t="s">
        <v>912</v>
      </c>
      <c r="J98" s="63">
        <v>51</v>
      </c>
      <c r="K98" s="96" t="s">
        <v>906</v>
      </c>
      <c r="L98" s="63">
        <v>469</v>
      </c>
      <c r="M98" s="96"/>
      <c r="N98" s="63"/>
      <c r="O98" s="96"/>
      <c r="P98" s="63"/>
      <c r="Q98" s="96"/>
      <c r="R98" s="63"/>
      <c r="S98" s="96"/>
      <c r="T98" s="63"/>
      <c r="U98" s="96"/>
      <c r="V98" s="63"/>
    </row>
    <row r="99" spans="1:22" ht="15">
      <c r="A99" s="125" t="s">
        <v>954</v>
      </c>
      <c r="B99" s="63">
        <v>213421</v>
      </c>
      <c r="C99" s="96" t="s">
        <v>935</v>
      </c>
      <c r="D99" s="63">
        <v>4515</v>
      </c>
      <c r="E99" s="96" t="s">
        <v>959</v>
      </c>
      <c r="F99" s="63">
        <v>30658</v>
      </c>
      <c r="G99" s="96" t="s">
        <v>909</v>
      </c>
      <c r="H99" s="63">
        <v>6532</v>
      </c>
      <c r="I99" s="96"/>
      <c r="J99" s="63"/>
      <c r="K99" s="96"/>
      <c r="L99" s="63"/>
      <c r="M99" s="96"/>
      <c r="N99" s="63"/>
      <c r="O99" s="96"/>
      <c r="P99" s="63"/>
      <c r="Q99" s="96"/>
      <c r="R99" s="63"/>
      <c r="S99" s="96"/>
      <c r="T99" s="63"/>
      <c r="U99" s="96"/>
      <c r="V99" s="63"/>
    </row>
    <row r="100" spans="1:22" ht="15">
      <c r="A100" s="125" t="s">
        <v>903</v>
      </c>
      <c r="B100" s="63">
        <v>176742</v>
      </c>
      <c r="C100" s="96" t="s">
        <v>934</v>
      </c>
      <c r="D100" s="63">
        <v>2884</v>
      </c>
      <c r="E100" s="96" t="s">
        <v>962</v>
      </c>
      <c r="F100" s="63">
        <v>312</v>
      </c>
      <c r="G100" s="96"/>
      <c r="H100" s="63"/>
      <c r="I100" s="96"/>
      <c r="J100" s="63"/>
      <c r="K100" s="96"/>
      <c r="L100" s="63"/>
      <c r="M100" s="96"/>
      <c r="N100" s="63"/>
      <c r="O100" s="96"/>
      <c r="P100" s="63"/>
      <c r="Q100" s="96"/>
      <c r="R100" s="63"/>
      <c r="S100" s="96"/>
      <c r="T100" s="63"/>
      <c r="U100" s="96"/>
      <c r="V100" s="63"/>
    </row>
    <row r="101" spans="1:22" ht="15">
      <c r="A101" s="125" t="s">
        <v>333</v>
      </c>
      <c r="B101" s="63">
        <v>167343</v>
      </c>
      <c r="C101" s="96" t="s">
        <v>928</v>
      </c>
      <c r="D101" s="63">
        <v>2297</v>
      </c>
      <c r="E101" s="96"/>
      <c r="F101" s="63"/>
      <c r="G101" s="96"/>
      <c r="H101" s="63"/>
      <c r="I101" s="96"/>
      <c r="J101" s="63"/>
      <c r="K101" s="96"/>
      <c r="L101" s="63"/>
      <c r="M101" s="96"/>
      <c r="N101" s="63"/>
      <c r="O101" s="96"/>
      <c r="P101" s="63"/>
      <c r="Q101" s="96"/>
      <c r="R101" s="63"/>
      <c r="S101" s="96"/>
      <c r="T101" s="63"/>
      <c r="U101" s="96"/>
      <c r="V101" s="63"/>
    </row>
    <row r="102" spans="1:22" ht="15">
      <c r="A102" s="125" t="s">
        <v>942</v>
      </c>
      <c r="B102" s="63">
        <v>103789</v>
      </c>
      <c r="C102" s="96" t="s">
        <v>929</v>
      </c>
      <c r="D102" s="63">
        <v>2169</v>
      </c>
      <c r="E102" s="96"/>
      <c r="F102" s="63"/>
      <c r="G102" s="96"/>
      <c r="H102" s="63"/>
      <c r="I102" s="96"/>
      <c r="J102" s="63"/>
      <c r="K102" s="96"/>
      <c r="L102" s="63"/>
      <c r="M102" s="96"/>
      <c r="N102" s="63"/>
      <c r="O102" s="96"/>
      <c r="P102" s="63"/>
      <c r="Q102" s="96"/>
      <c r="R102" s="63"/>
      <c r="S102" s="96"/>
      <c r="T102" s="63"/>
      <c r="U102" s="96"/>
      <c r="V102" s="63"/>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2"/>
    <tablePart r:id="rId34"/>
    <tablePart r:id="rId31"/>
    <tablePart r:id="rId36"/>
    <tablePart r:id="rId37"/>
    <tablePart r:id="rId35"/>
    <tablePart r:id="rId30"/>
    <tablePart r:id="rId3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249</v>
      </c>
      <c r="B1" s="13" t="s">
        <v>250</v>
      </c>
      <c r="C1" s="13" t="s">
        <v>251</v>
      </c>
      <c r="D1" s="13" t="s">
        <v>143</v>
      </c>
      <c r="E1" s="13" t="s">
        <v>662</v>
      </c>
      <c r="F1" s="13" t="s">
        <v>663</v>
      </c>
      <c r="G1" s="13" t="s">
        <v>664</v>
      </c>
    </row>
    <row r="2" spans="1:7" ht="15">
      <c r="A2" s="63" t="s">
        <v>653</v>
      </c>
      <c r="B2" s="63" t="s">
        <v>659</v>
      </c>
      <c r="C2" s="94"/>
      <c r="D2" s="63"/>
      <c r="E2" s="63"/>
      <c r="F2" s="63"/>
      <c r="G2" s="63"/>
    </row>
    <row r="3" spans="1:7" ht="15">
      <c r="A3" s="64" t="s">
        <v>654</v>
      </c>
      <c r="B3" s="63" t="s">
        <v>660</v>
      </c>
      <c r="C3" s="94"/>
      <c r="D3" s="63"/>
      <c r="E3" s="63"/>
      <c r="F3" s="63"/>
      <c r="G3" s="63"/>
    </row>
    <row r="4" spans="1:7" ht="15">
      <c r="A4" s="64" t="s">
        <v>655</v>
      </c>
      <c r="B4" s="63" t="s">
        <v>661</v>
      </c>
      <c r="C4" s="94"/>
      <c r="D4" s="63"/>
      <c r="E4" s="63"/>
      <c r="F4" s="63"/>
      <c r="G4" s="63"/>
    </row>
    <row r="5" spans="1:7" ht="15">
      <c r="A5" s="64" t="s">
        <v>656</v>
      </c>
      <c r="B5" s="63">
        <v>0</v>
      </c>
      <c r="C5" s="94">
        <v>0</v>
      </c>
      <c r="D5" s="63"/>
      <c r="E5" s="63"/>
      <c r="F5" s="63"/>
      <c r="G5" s="63"/>
    </row>
    <row r="6" spans="1:7" ht="15">
      <c r="A6" s="64" t="s">
        <v>657</v>
      </c>
      <c r="B6" s="63">
        <v>0</v>
      </c>
      <c r="C6" s="94">
        <v>0</v>
      </c>
      <c r="D6" s="63"/>
      <c r="E6" s="63"/>
      <c r="F6" s="63"/>
      <c r="G6" s="63"/>
    </row>
    <row r="7" spans="1:7" ht="15">
      <c r="A7" s="64" t="s">
        <v>658</v>
      </c>
      <c r="B7" s="63">
        <v>0</v>
      </c>
      <c r="C7" s="94">
        <v>0</v>
      </c>
      <c r="D7" s="63"/>
      <c r="E7" s="63"/>
      <c r="F7" s="63"/>
      <c r="G7" s="63"/>
    </row>
    <row r="8" spans="1:7" ht="15">
      <c r="A8" s="64" t="s">
        <v>257</v>
      </c>
      <c r="B8" s="63">
        <v>1020</v>
      </c>
      <c r="C8" s="94">
        <v>0.7223796033994334</v>
      </c>
      <c r="D8" s="63"/>
      <c r="E8" s="63"/>
      <c r="F8" s="63"/>
      <c r="G8" s="63"/>
    </row>
    <row r="9" spans="1:7" ht="15">
      <c r="A9" s="64" t="s">
        <v>258</v>
      </c>
      <c r="B9" s="63">
        <v>1412</v>
      </c>
      <c r="C9" s="94">
        <v>1</v>
      </c>
      <c r="D9" s="63"/>
      <c r="E9" s="63"/>
      <c r="F9" s="63"/>
      <c r="G9" s="63"/>
    </row>
    <row r="10" spans="1:7" ht="15">
      <c r="A10" s="136" t="s">
        <v>958</v>
      </c>
      <c r="B10" s="67">
        <v>14</v>
      </c>
      <c r="C10" s="139">
        <v>0.011779124248491828</v>
      </c>
      <c r="D10" s="67" t="s">
        <v>2234</v>
      </c>
      <c r="E10" s="67" t="b">
        <v>0</v>
      </c>
      <c r="F10" s="67" t="b">
        <v>0</v>
      </c>
      <c r="G10" s="67" t="b">
        <v>0</v>
      </c>
    </row>
    <row r="11" spans="1:7" ht="15">
      <c r="A11" s="136" t="s">
        <v>1798</v>
      </c>
      <c r="B11" s="67">
        <v>14</v>
      </c>
      <c r="C11" s="139">
        <v>0.011779124248491828</v>
      </c>
      <c r="D11" s="67" t="s">
        <v>2234</v>
      </c>
      <c r="E11" s="67" t="b">
        <v>0</v>
      </c>
      <c r="F11" s="67" t="b">
        <v>0</v>
      </c>
      <c r="G11" s="67" t="b">
        <v>0</v>
      </c>
    </row>
    <row r="12" spans="1:7" ht="15">
      <c r="A12" s="136" t="s">
        <v>1799</v>
      </c>
      <c r="B12" s="67">
        <v>14</v>
      </c>
      <c r="C12" s="139">
        <v>0.011779124248491828</v>
      </c>
      <c r="D12" s="67" t="s">
        <v>2234</v>
      </c>
      <c r="E12" s="67" t="b">
        <v>0</v>
      </c>
      <c r="F12" s="67" t="b">
        <v>0</v>
      </c>
      <c r="G12" s="67" t="b">
        <v>0</v>
      </c>
    </row>
    <row r="13" spans="1:7" ht="15">
      <c r="A13" s="136" t="s">
        <v>963</v>
      </c>
      <c r="B13" s="67">
        <v>11</v>
      </c>
      <c r="C13" s="139">
        <v>0.010384525073400581</v>
      </c>
      <c r="D13" s="67" t="s">
        <v>2234</v>
      </c>
      <c r="E13" s="67" t="b">
        <v>0</v>
      </c>
      <c r="F13" s="67" t="b">
        <v>0</v>
      </c>
      <c r="G13" s="67" t="b">
        <v>0</v>
      </c>
    </row>
    <row r="14" spans="1:7" ht="15">
      <c r="A14" s="136" t="s">
        <v>1800</v>
      </c>
      <c r="B14" s="67">
        <v>9</v>
      </c>
      <c r="C14" s="139">
        <v>0.009265401744205743</v>
      </c>
      <c r="D14" s="67" t="s">
        <v>2234</v>
      </c>
      <c r="E14" s="67" t="b">
        <v>0</v>
      </c>
      <c r="F14" s="67" t="b">
        <v>0</v>
      </c>
      <c r="G14" s="67" t="b">
        <v>0</v>
      </c>
    </row>
    <row r="15" spans="1:7" ht="15">
      <c r="A15" s="136" t="s">
        <v>1801</v>
      </c>
      <c r="B15" s="67">
        <v>9</v>
      </c>
      <c r="C15" s="139">
        <v>0.013475295168202764</v>
      </c>
      <c r="D15" s="67" t="s">
        <v>2234</v>
      </c>
      <c r="E15" s="67" t="b">
        <v>0</v>
      </c>
      <c r="F15" s="67" t="b">
        <v>0</v>
      </c>
      <c r="G15" s="67" t="b">
        <v>0</v>
      </c>
    </row>
    <row r="16" spans="1:7" ht="15">
      <c r="A16" s="136" t="s">
        <v>1802</v>
      </c>
      <c r="B16" s="67">
        <v>8</v>
      </c>
      <c r="C16" s="139">
        <v>0.008637108916005483</v>
      </c>
      <c r="D16" s="67" t="s">
        <v>2234</v>
      </c>
      <c r="E16" s="67" t="b">
        <v>0</v>
      </c>
      <c r="F16" s="67" t="b">
        <v>0</v>
      </c>
      <c r="G16" s="67" t="b">
        <v>0</v>
      </c>
    </row>
    <row r="17" spans="1:7" ht="15">
      <c r="A17" s="136" t="s">
        <v>1804</v>
      </c>
      <c r="B17" s="67">
        <v>8</v>
      </c>
      <c r="C17" s="139">
        <v>0.009091947715830476</v>
      </c>
      <c r="D17" s="67" t="s">
        <v>2234</v>
      </c>
      <c r="E17" s="67" t="b">
        <v>0</v>
      </c>
      <c r="F17" s="67" t="b">
        <v>0</v>
      </c>
      <c r="G17" s="67" t="b">
        <v>0</v>
      </c>
    </row>
    <row r="18" spans="1:7" ht="15">
      <c r="A18" s="136" t="s">
        <v>1803</v>
      </c>
      <c r="B18" s="67">
        <v>8</v>
      </c>
      <c r="C18" s="139">
        <v>0.008637108916005483</v>
      </c>
      <c r="D18" s="67" t="s">
        <v>2234</v>
      </c>
      <c r="E18" s="67" t="b">
        <v>0</v>
      </c>
      <c r="F18" s="67" t="b">
        <v>0</v>
      </c>
      <c r="G18" s="67" t="b">
        <v>0</v>
      </c>
    </row>
    <row r="19" spans="1:7" ht="15">
      <c r="A19" s="136" t="s">
        <v>929</v>
      </c>
      <c r="B19" s="67">
        <v>6</v>
      </c>
      <c r="C19" s="139">
        <v>0.007212765431758817</v>
      </c>
      <c r="D19" s="67" t="s">
        <v>2234</v>
      </c>
      <c r="E19" s="67" t="b">
        <v>0</v>
      </c>
      <c r="F19" s="67" t="b">
        <v>0</v>
      </c>
      <c r="G19" s="67" t="b">
        <v>0</v>
      </c>
    </row>
    <row r="20" spans="1:7" ht="15">
      <c r="A20" s="136" t="s">
        <v>1805</v>
      </c>
      <c r="B20" s="67">
        <v>6</v>
      </c>
      <c r="C20" s="139">
        <v>0.007212765431758817</v>
      </c>
      <c r="D20" s="67" t="s">
        <v>2234</v>
      </c>
      <c r="E20" s="67" t="b">
        <v>0</v>
      </c>
      <c r="F20" s="67" t="b">
        <v>0</v>
      </c>
      <c r="G20" s="67" t="b">
        <v>0</v>
      </c>
    </row>
    <row r="21" spans="1:7" ht="15">
      <c r="A21" s="136" t="s">
        <v>1806</v>
      </c>
      <c r="B21" s="67">
        <v>6</v>
      </c>
      <c r="C21" s="139">
        <v>0.007212765431758817</v>
      </c>
      <c r="D21" s="67" t="s">
        <v>2234</v>
      </c>
      <c r="E21" s="67" t="b">
        <v>0</v>
      </c>
      <c r="F21" s="67" t="b">
        <v>0</v>
      </c>
      <c r="G21" s="67" t="b">
        <v>0</v>
      </c>
    </row>
    <row r="22" spans="1:7" ht="15">
      <c r="A22" s="136" t="s">
        <v>1812</v>
      </c>
      <c r="B22" s="67">
        <v>5</v>
      </c>
      <c r="C22" s="139">
        <v>0.006398781222777567</v>
      </c>
      <c r="D22" s="67" t="s">
        <v>2234</v>
      </c>
      <c r="E22" s="67" t="b">
        <v>0</v>
      </c>
      <c r="F22" s="67" t="b">
        <v>0</v>
      </c>
      <c r="G22" s="67" t="b">
        <v>0</v>
      </c>
    </row>
    <row r="23" spans="1:7" ht="15">
      <c r="A23" s="136" t="s">
        <v>1835</v>
      </c>
      <c r="B23" s="67">
        <v>5</v>
      </c>
      <c r="C23" s="139">
        <v>0.006873830306150392</v>
      </c>
      <c r="D23" s="67" t="s">
        <v>2234</v>
      </c>
      <c r="E23" s="67" t="b">
        <v>0</v>
      </c>
      <c r="F23" s="67" t="b">
        <v>0</v>
      </c>
      <c r="G23" s="67" t="b">
        <v>0</v>
      </c>
    </row>
    <row r="24" spans="1:7" ht="15">
      <c r="A24" s="136" t="s">
        <v>333</v>
      </c>
      <c r="B24" s="67">
        <v>4</v>
      </c>
      <c r="C24" s="139">
        <v>0.005499064244920314</v>
      </c>
      <c r="D24" s="67" t="s">
        <v>2234</v>
      </c>
      <c r="E24" s="67" t="b">
        <v>0</v>
      </c>
      <c r="F24" s="67" t="b">
        <v>0</v>
      </c>
      <c r="G24" s="67" t="b">
        <v>0</v>
      </c>
    </row>
    <row r="25" spans="1:7" ht="15">
      <c r="A25" s="136" t="s">
        <v>1826</v>
      </c>
      <c r="B25" s="67">
        <v>4</v>
      </c>
      <c r="C25" s="139">
        <v>0.005499064244920314</v>
      </c>
      <c r="D25" s="67" t="s">
        <v>2234</v>
      </c>
      <c r="E25" s="67" t="b">
        <v>0</v>
      </c>
      <c r="F25" s="67" t="b">
        <v>0</v>
      </c>
      <c r="G25" s="67" t="b">
        <v>0</v>
      </c>
    </row>
    <row r="26" spans="1:7" ht="15">
      <c r="A26" s="136" t="s">
        <v>1808</v>
      </c>
      <c r="B26" s="67">
        <v>4</v>
      </c>
      <c r="C26" s="139">
        <v>0.005499064244920314</v>
      </c>
      <c r="D26" s="67" t="s">
        <v>2234</v>
      </c>
      <c r="E26" s="67" t="b">
        <v>0</v>
      </c>
      <c r="F26" s="67" t="b">
        <v>0</v>
      </c>
      <c r="G26" s="67" t="b">
        <v>0</v>
      </c>
    </row>
    <row r="27" spans="1:7" ht="15">
      <c r="A27" s="136" t="s">
        <v>1838</v>
      </c>
      <c r="B27" s="67">
        <v>4</v>
      </c>
      <c r="C27" s="139">
        <v>0.005499064244920314</v>
      </c>
      <c r="D27" s="67" t="s">
        <v>2234</v>
      </c>
      <c r="E27" s="67" t="b">
        <v>0</v>
      </c>
      <c r="F27" s="67" t="b">
        <v>0</v>
      </c>
      <c r="G27" s="67" t="b">
        <v>0</v>
      </c>
    </row>
    <row r="28" spans="1:7" ht="15">
      <c r="A28" s="136" t="s">
        <v>1825</v>
      </c>
      <c r="B28" s="67">
        <v>4</v>
      </c>
      <c r="C28" s="139">
        <v>0.006679574031837888</v>
      </c>
      <c r="D28" s="67" t="s">
        <v>2234</v>
      </c>
      <c r="E28" s="67" t="b">
        <v>0</v>
      </c>
      <c r="F28" s="67" t="b">
        <v>0</v>
      </c>
      <c r="G28" s="67" t="b">
        <v>0</v>
      </c>
    </row>
    <row r="29" spans="1:7" ht="15">
      <c r="A29" s="136" t="s">
        <v>2056</v>
      </c>
      <c r="B29" s="67">
        <v>4</v>
      </c>
      <c r="C29" s="139">
        <v>0.005499064244920314</v>
      </c>
      <c r="D29" s="67" t="s">
        <v>2234</v>
      </c>
      <c r="E29" s="67" t="b">
        <v>0</v>
      </c>
      <c r="F29" s="67" t="b">
        <v>0</v>
      </c>
      <c r="G29" s="67" t="b">
        <v>0</v>
      </c>
    </row>
    <row r="30" spans="1:7" ht="15">
      <c r="A30" s="136" t="s">
        <v>1824</v>
      </c>
      <c r="B30" s="67">
        <v>4</v>
      </c>
      <c r="C30" s="139">
        <v>0.006679574031837888</v>
      </c>
      <c r="D30" s="67" t="s">
        <v>2234</v>
      </c>
      <c r="E30" s="67" t="b">
        <v>0</v>
      </c>
      <c r="F30" s="67" t="b">
        <v>0</v>
      </c>
      <c r="G30" s="67" t="b">
        <v>0</v>
      </c>
    </row>
    <row r="31" spans="1:7" ht="15">
      <c r="A31" s="136" t="s">
        <v>1830</v>
      </c>
      <c r="B31" s="67">
        <v>4</v>
      </c>
      <c r="C31" s="139">
        <v>0.005499064244920314</v>
      </c>
      <c r="D31" s="67" t="s">
        <v>2234</v>
      </c>
      <c r="E31" s="67" t="b">
        <v>0</v>
      </c>
      <c r="F31" s="67" t="b">
        <v>0</v>
      </c>
      <c r="G31" s="67" t="b">
        <v>0</v>
      </c>
    </row>
    <row r="32" spans="1:7" ht="15">
      <c r="A32" s="136" t="s">
        <v>1811</v>
      </c>
      <c r="B32" s="67">
        <v>4</v>
      </c>
      <c r="C32" s="139">
        <v>0.005499064244920314</v>
      </c>
      <c r="D32" s="67" t="s">
        <v>2234</v>
      </c>
      <c r="E32" s="67" t="b">
        <v>0</v>
      </c>
      <c r="F32" s="67" t="b">
        <v>0</v>
      </c>
      <c r="G32" s="67" t="b">
        <v>0</v>
      </c>
    </row>
    <row r="33" spans="1:7" ht="15">
      <c r="A33" s="136" t="s">
        <v>1809</v>
      </c>
      <c r="B33" s="67">
        <v>4</v>
      </c>
      <c r="C33" s="139">
        <v>0.005499064244920314</v>
      </c>
      <c r="D33" s="67" t="s">
        <v>2234</v>
      </c>
      <c r="E33" s="67" t="b">
        <v>0</v>
      </c>
      <c r="F33" s="67" t="b">
        <v>0</v>
      </c>
      <c r="G33" s="67" t="b">
        <v>0</v>
      </c>
    </row>
    <row r="34" spans="1:7" ht="15">
      <c r="A34" s="136" t="s">
        <v>1807</v>
      </c>
      <c r="B34" s="67">
        <v>4</v>
      </c>
      <c r="C34" s="139">
        <v>0.006679574031837888</v>
      </c>
      <c r="D34" s="67" t="s">
        <v>2234</v>
      </c>
      <c r="E34" s="67" t="b">
        <v>0</v>
      </c>
      <c r="F34" s="67" t="b">
        <v>0</v>
      </c>
      <c r="G34" s="67" t="b">
        <v>0</v>
      </c>
    </row>
    <row r="35" spans="1:7" ht="15">
      <c r="A35" s="136" t="s">
        <v>934</v>
      </c>
      <c r="B35" s="67">
        <v>3</v>
      </c>
      <c r="C35" s="139">
        <v>0.004491765056067588</v>
      </c>
      <c r="D35" s="67" t="s">
        <v>2234</v>
      </c>
      <c r="E35" s="67" t="b">
        <v>0</v>
      </c>
      <c r="F35" s="67" t="b">
        <v>0</v>
      </c>
      <c r="G35" s="67" t="b">
        <v>0</v>
      </c>
    </row>
    <row r="36" spans="1:7" ht="15">
      <c r="A36" s="136" t="s">
        <v>953</v>
      </c>
      <c r="B36" s="67">
        <v>3</v>
      </c>
      <c r="C36" s="139">
        <v>0.004491765056067588</v>
      </c>
      <c r="D36" s="67" t="s">
        <v>2234</v>
      </c>
      <c r="E36" s="67" t="b">
        <v>0</v>
      </c>
      <c r="F36" s="67" t="b">
        <v>0</v>
      </c>
      <c r="G36" s="67" t="b">
        <v>0</v>
      </c>
    </row>
    <row r="37" spans="1:7" ht="15">
      <c r="A37" s="136" t="s">
        <v>1833</v>
      </c>
      <c r="B37" s="67">
        <v>3</v>
      </c>
      <c r="C37" s="139">
        <v>0.005009680523878415</v>
      </c>
      <c r="D37" s="67" t="s">
        <v>2234</v>
      </c>
      <c r="E37" s="67" t="b">
        <v>0</v>
      </c>
      <c r="F37" s="67" t="b">
        <v>0</v>
      </c>
      <c r="G37" s="67" t="b">
        <v>0</v>
      </c>
    </row>
    <row r="38" spans="1:7" ht="15">
      <c r="A38" s="136" t="s">
        <v>1816</v>
      </c>
      <c r="B38" s="67">
        <v>3</v>
      </c>
      <c r="C38" s="139">
        <v>0.004491765056067588</v>
      </c>
      <c r="D38" s="67" t="s">
        <v>2234</v>
      </c>
      <c r="E38" s="67" t="b">
        <v>0</v>
      </c>
      <c r="F38" s="67" t="b">
        <v>0</v>
      </c>
      <c r="G38" s="67" t="b">
        <v>0</v>
      </c>
    </row>
    <row r="39" spans="1:7" ht="15">
      <c r="A39" s="136" t="s">
        <v>1810</v>
      </c>
      <c r="B39" s="67">
        <v>3</v>
      </c>
      <c r="C39" s="139">
        <v>0.004491765056067588</v>
      </c>
      <c r="D39" s="67" t="s">
        <v>2234</v>
      </c>
      <c r="E39" s="67" t="b">
        <v>0</v>
      </c>
      <c r="F39" s="67" t="b">
        <v>0</v>
      </c>
      <c r="G39" s="67" t="b">
        <v>0</v>
      </c>
    </row>
    <row r="40" spans="1:7" ht="15">
      <c r="A40" s="136" t="s">
        <v>1850</v>
      </c>
      <c r="B40" s="67">
        <v>3</v>
      </c>
      <c r="C40" s="139">
        <v>0.005009680523878415</v>
      </c>
      <c r="D40" s="67" t="s">
        <v>2234</v>
      </c>
      <c r="E40" s="67" t="b">
        <v>0</v>
      </c>
      <c r="F40" s="67" t="b">
        <v>0</v>
      </c>
      <c r="G40" s="67" t="b">
        <v>0</v>
      </c>
    </row>
    <row r="41" spans="1:7" ht="15">
      <c r="A41" s="136" t="s">
        <v>2057</v>
      </c>
      <c r="B41" s="67">
        <v>3</v>
      </c>
      <c r="C41" s="139">
        <v>0.004491765056067588</v>
      </c>
      <c r="D41" s="67" t="s">
        <v>2234</v>
      </c>
      <c r="E41" s="67" t="b">
        <v>0</v>
      </c>
      <c r="F41" s="67" t="b">
        <v>0</v>
      </c>
      <c r="G41" s="67" t="b">
        <v>0</v>
      </c>
    </row>
    <row r="42" spans="1:7" ht="15">
      <c r="A42" s="136" t="s">
        <v>1814</v>
      </c>
      <c r="B42" s="67">
        <v>3</v>
      </c>
      <c r="C42" s="139">
        <v>0.005009680523878415</v>
      </c>
      <c r="D42" s="67" t="s">
        <v>2234</v>
      </c>
      <c r="E42" s="67" t="b">
        <v>0</v>
      </c>
      <c r="F42" s="67" t="b">
        <v>0</v>
      </c>
      <c r="G42" s="67" t="b">
        <v>0</v>
      </c>
    </row>
    <row r="43" spans="1:7" ht="15">
      <c r="A43" s="136" t="s">
        <v>2058</v>
      </c>
      <c r="B43" s="67">
        <v>3</v>
      </c>
      <c r="C43" s="139">
        <v>0.004491765056067588</v>
      </c>
      <c r="D43" s="67" t="s">
        <v>2234</v>
      </c>
      <c r="E43" s="67" t="b">
        <v>0</v>
      </c>
      <c r="F43" s="67" t="b">
        <v>0</v>
      </c>
      <c r="G43" s="67" t="b">
        <v>0</v>
      </c>
    </row>
    <row r="44" spans="1:7" ht="15">
      <c r="A44" s="136" t="s">
        <v>2059</v>
      </c>
      <c r="B44" s="67">
        <v>3</v>
      </c>
      <c r="C44" s="139">
        <v>0.004491765056067588</v>
      </c>
      <c r="D44" s="67" t="s">
        <v>2234</v>
      </c>
      <c r="E44" s="67" t="b">
        <v>0</v>
      </c>
      <c r="F44" s="67" t="b">
        <v>0</v>
      </c>
      <c r="G44" s="67" t="b">
        <v>0</v>
      </c>
    </row>
    <row r="45" spans="1:7" ht="15">
      <c r="A45" s="136" t="s">
        <v>2060</v>
      </c>
      <c r="B45" s="67">
        <v>3</v>
      </c>
      <c r="C45" s="139">
        <v>0.004491765056067588</v>
      </c>
      <c r="D45" s="67" t="s">
        <v>2234</v>
      </c>
      <c r="E45" s="67" t="b">
        <v>0</v>
      </c>
      <c r="F45" s="67" t="b">
        <v>0</v>
      </c>
      <c r="G45" s="67" t="b">
        <v>0</v>
      </c>
    </row>
    <row r="46" spans="1:7" ht="15">
      <c r="A46" s="136" t="s">
        <v>2061</v>
      </c>
      <c r="B46" s="67">
        <v>3</v>
      </c>
      <c r="C46" s="139">
        <v>0.004491765056067588</v>
      </c>
      <c r="D46" s="67" t="s">
        <v>2234</v>
      </c>
      <c r="E46" s="67" t="b">
        <v>0</v>
      </c>
      <c r="F46" s="67" t="b">
        <v>0</v>
      </c>
      <c r="G46" s="67" t="b">
        <v>0</v>
      </c>
    </row>
    <row r="47" spans="1:7" ht="15">
      <c r="A47" s="136" t="s">
        <v>2062</v>
      </c>
      <c r="B47" s="67">
        <v>3</v>
      </c>
      <c r="C47" s="139">
        <v>0.004491765056067588</v>
      </c>
      <c r="D47" s="67" t="s">
        <v>2234</v>
      </c>
      <c r="E47" s="67" t="b">
        <v>0</v>
      </c>
      <c r="F47" s="67" t="b">
        <v>0</v>
      </c>
      <c r="G47" s="67" t="b">
        <v>0</v>
      </c>
    </row>
    <row r="48" spans="1:7" ht="15">
      <c r="A48" s="136" t="s">
        <v>2063</v>
      </c>
      <c r="B48" s="67">
        <v>3</v>
      </c>
      <c r="C48" s="139">
        <v>0.004491765056067588</v>
      </c>
      <c r="D48" s="67" t="s">
        <v>2234</v>
      </c>
      <c r="E48" s="67" t="b">
        <v>0</v>
      </c>
      <c r="F48" s="67" t="b">
        <v>0</v>
      </c>
      <c r="G48" s="67" t="b">
        <v>0</v>
      </c>
    </row>
    <row r="49" spans="1:7" ht="15">
      <c r="A49" s="136" t="s">
        <v>1834</v>
      </c>
      <c r="B49" s="67">
        <v>3</v>
      </c>
      <c r="C49" s="139">
        <v>0.005009680523878415</v>
      </c>
      <c r="D49" s="67" t="s">
        <v>2234</v>
      </c>
      <c r="E49" s="67" t="b">
        <v>0</v>
      </c>
      <c r="F49" s="67" t="b">
        <v>0</v>
      </c>
      <c r="G49" s="67" t="b">
        <v>0</v>
      </c>
    </row>
    <row r="50" spans="1:7" ht="15">
      <c r="A50" s="136" t="s">
        <v>2064</v>
      </c>
      <c r="B50" s="67">
        <v>3</v>
      </c>
      <c r="C50" s="139">
        <v>0.004491765056067588</v>
      </c>
      <c r="D50" s="67" t="s">
        <v>2234</v>
      </c>
      <c r="E50" s="67" t="b">
        <v>0</v>
      </c>
      <c r="F50" s="67" t="b">
        <v>0</v>
      </c>
      <c r="G50" s="67" t="b">
        <v>0</v>
      </c>
    </row>
    <row r="51" spans="1:7" ht="15">
      <c r="A51" s="136" t="s">
        <v>913</v>
      </c>
      <c r="B51" s="67">
        <v>3</v>
      </c>
      <c r="C51" s="139">
        <v>0.004491765056067588</v>
      </c>
      <c r="D51" s="67" t="s">
        <v>2234</v>
      </c>
      <c r="E51" s="67" t="b">
        <v>0</v>
      </c>
      <c r="F51" s="67" t="b">
        <v>0</v>
      </c>
      <c r="G51" s="67" t="b">
        <v>0</v>
      </c>
    </row>
    <row r="52" spans="1:7" ht="15">
      <c r="A52" s="136" t="s">
        <v>1789</v>
      </c>
      <c r="B52" s="67">
        <v>3</v>
      </c>
      <c r="C52" s="139">
        <v>0.004491765056067588</v>
      </c>
      <c r="D52" s="67" t="s">
        <v>2234</v>
      </c>
      <c r="E52" s="67" t="b">
        <v>0</v>
      </c>
      <c r="F52" s="67" t="b">
        <v>0</v>
      </c>
      <c r="G52" s="67" t="b">
        <v>0</v>
      </c>
    </row>
    <row r="53" spans="1:7" ht="15">
      <c r="A53" s="136" t="s">
        <v>926</v>
      </c>
      <c r="B53" s="67">
        <v>3</v>
      </c>
      <c r="C53" s="139">
        <v>0.004491765056067588</v>
      </c>
      <c r="D53" s="67" t="s">
        <v>2234</v>
      </c>
      <c r="E53" s="67" t="b">
        <v>0</v>
      </c>
      <c r="F53" s="67" t="b">
        <v>0</v>
      </c>
      <c r="G53" s="67" t="b">
        <v>0</v>
      </c>
    </row>
    <row r="54" spans="1:7" ht="15">
      <c r="A54" s="136" t="s">
        <v>1813</v>
      </c>
      <c r="B54" s="67">
        <v>3</v>
      </c>
      <c r="C54" s="139">
        <v>0.004491765056067588</v>
      </c>
      <c r="D54" s="67" t="s">
        <v>2234</v>
      </c>
      <c r="E54" s="67" t="b">
        <v>0</v>
      </c>
      <c r="F54" s="67" t="b">
        <v>0</v>
      </c>
      <c r="G54" s="67" t="b">
        <v>0</v>
      </c>
    </row>
    <row r="55" spans="1:7" ht="15">
      <c r="A55" s="136" t="s">
        <v>2065</v>
      </c>
      <c r="B55" s="67">
        <v>3</v>
      </c>
      <c r="C55" s="139">
        <v>0.004491765056067588</v>
      </c>
      <c r="D55" s="67" t="s">
        <v>2234</v>
      </c>
      <c r="E55" s="67" t="b">
        <v>0</v>
      </c>
      <c r="F55" s="67" t="b">
        <v>0</v>
      </c>
      <c r="G55" s="67" t="b">
        <v>0</v>
      </c>
    </row>
    <row r="56" spans="1:7" ht="15">
      <c r="A56" s="136" t="s">
        <v>2066</v>
      </c>
      <c r="B56" s="67">
        <v>3</v>
      </c>
      <c r="C56" s="139">
        <v>0.004491765056067588</v>
      </c>
      <c r="D56" s="67" t="s">
        <v>2234</v>
      </c>
      <c r="E56" s="67" t="b">
        <v>0</v>
      </c>
      <c r="F56" s="67" t="b">
        <v>0</v>
      </c>
      <c r="G56" s="67" t="b">
        <v>0</v>
      </c>
    </row>
    <row r="57" spans="1:7" ht="15">
      <c r="A57" s="136" t="s">
        <v>1849</v>
      </c>
      <c r="B57" s="67">
        <v>2</v>
      </c>
      <c r="C57" s="139">
        <v>0.003339787015918944</v>
      </c>
      <c r="D57" s="67" t="s">
        <v>2234</v>
      </c>
      <c r="E57" s="67" t="b">
        <v>0</v>
      </c>
      <c r="F57" s="67" t="b">
        <v>0</v>
      </c>
      <c r="G57" s="67" t="b">
        <v>0</v>
      </c>
    </row>
    <row r="58" spans="1:7" ht="15">
      <c r="A58" s="136" t="s">
        <v>2067</v>
      </c>
      <c r="B58" s="67">
        <v>2</v>
      </c>
      <c r="C58" s="139">
        <v>0.003339787015918944</v>
      </c>
      <c r="D58" s="67" t="s">
        <v>2234</v>
      </c>
      <c r="E58" s="67" t="b">
        <v>0</v>
      </c>
      <c r="F58" s="67" t="b">
        <v>0</v>
      </c>
      <c r="G58" s="67" t="b">
        <v>0</v>
      </c>
    </row>
    <row r="59" spans="1:7" ht="15">
      <c r="A59" s="136" t="s">
        <v>2068</v>
      </c>
      <c r="B59" s="67">
        <v>2</v>
      </c>
      <c r="C59" s="139">
        <v>0.003339787015918944</v>
      </c>
      <c r="D59" s="67" t="s">
        <v>2234</v>
      </c>
      <c r="E59" s="67" t="b">
        <v>0</v>
      </c>
      <c r="F59" s="67" t="b">
        <v>0</v>
      </c>
      <c r="G59" s="67" t="b">
        <v>0</v>
      </c>
    </row>
    <row r="60" spans="1:7" ht="15">
      <c r="A60" s="136" t="s">
        <v>2069</v>
      </c>
      <c r="B60" s="67">
        <v>2</v>
      </c>
      <c r="C60" s="139">
        <v>0.003339787015918944</v>
      </c>
      <c r="D60" s="67" t="s">
        <v>2234</v>
      </c>
      <c r="E60" s="67" t="b">
        <v>0</v>
      </c>
      <c r="F60" s="67" t="b">
        <v>0</v>
      </c>
      <c r="G60" s="67" t="b">
        <v>0</v>
      </c>
    </row>
    <row r="61" spans="1:7" ht="15">
      <c r="A61" s="136" t="s">
        <v>2070</v>
      </c>
      <c r="B61" s="67">
        <v>2</v>
      </c>
      <c r="C61" s="139">
        <v>0.003339787015918944</v>
      </c>
      <c r="D61" s="67" t="s">
        <v>2234</v>
      </c>
      <c r="E61" s="67" t="b">
        <v>0</v>
      </c>
      <c r="F61" s="67" t="b">
        <v>0</v>
      </c>
      <c r="G61" s="67" t="b">
        <v>0</v>
      </c>
    </row>
    <row r="62" spans="1:7" ht="15">
      <c r="A62" s="136" t="s">
        <v>1843</v>
      </c>
      <c r="B62" s="67">
        <v>2</v>
      </c>
      <c r="C62" s="139">
        <v>0.003339787015918944</v>
      </c>
      <c r="D62" s="67" t="s">
        <v>2234</v>
      </c>
      <c r="E62" s="67" t="b">
        <v>0</v>
      </c>
      <c r="F62" s="67" t="b">
        <v>0</v>
      </c>
      <c r="G62" s="67" t="b">
        <v>0</v>
      </c>
    </row>
    <row r="63" spans="1:7" ht="15">
      <c r="A63" s="136" t="s">
        <v>2071</v>
      </c>
      <c r="B63" s="67">
        <v>2</v>
      </c>
      <c r="C63" s="139">
        <v>0.003339787015918944</v>
      </c>
      <c r="D63" s="67" t="s">
        <v>2234</v>
      </c>
      <c r="E63" s="67" t="b">
        <v>0</v>
      </c>
      <c r="F63" s="67" t="b">
        <v>0</v>
      </c>
      <c r="G63" s="67" t="b">
        <v>0</v>
      </c>
    </row>
    <row r="64" spans="1:7" ht="15">
      <c r="A64" s="136" t="s">
        <v>2072</v>
      </c>
      <c r="B64" s="67">
        <v>2</v>
      </c>
      <c r="C64" s="139">
        <v>0.003339787015918944</v>
      </c>
      <c r="D64" s="67" t="s">
        <v>2234</v>
      </c>
      <c r="E64" s="67" t="b">
        <v>0</v>
      </c>
      <c r="F64" s="67" t="b">
        <v>0</v>
      </c>
      <c r="G64" s="67" t="b">
        <v>0</v>
      </c>
    </row>
    <row r="65" spans="1:7" ht="15">
      <c r="A65" s="136" t="s">
        <v>939</v>
      </c>
      <c r="B65" s="67">
        <v>2</v>
      </c>
      <c r="C65" s="139">
        <v>0.003339787015918944</v>
      </c>
      <c r="D65" s="67" t="s">
        <v>2234</v>
      </c>
      <c r="E65" s="67" t="b">
        <v>0</v>
      </c>
      <c r="F65" s="67" t="b">
        <v>0</v>
      </c>
      <c r="G65" s="67" t="b">
        <v>0</v>
      </c>
    </row>
    <row r="66" spans="1:7" ht="15">
      <c r="A66" s="136" t="s">
        <v>1822</v>
      </c>
      <c r="B66" s="67">
        <v>2</v>
      </c>
      <c r="C66" s="139">
        <v>0.003339787015918944</v>
      </c>
      <c r="D66" s="67" t="s">
        <v>2234</v>
      </c>
      <c r="E66" s="67" t="b">
        <v>0</v>
      </c>
      <c r="F66" s="67" t="b">
        <v>0</v>
      </c>
      <c r="G66" s="67" t="b">
        <v>0</v>
      </c>
    </row>
    <row r="67" spans="1:7" ht="15">
      <c r="A67" s="136" t="s">
        <v>2073</v>
      </c>
      <c r="B67" s="67">
        <v>2</v>
      </c>
      <c r="C67" s="139">
        <v>0.003339787015918944</v>
      </c>
      <c r="D67" s="67" t="s">
        <v>2234</v>
      </c>
      <c r="E67" s="67" t="b">
        <v>0</v>
      </c>
      <c r="F67" s="67" t="b">
        <v>0</v>
      </c>
      <c r="G67" s="67" t="b">
        <v>0</v>
      </c>
    </row>
    <row r="68" spans="1:7" ht="15">
      <c r="A68" s="136" t="s">
        <v>2074</v>
      </c>
      <c r="B68" s="67">
        <v>2</v>
      </c>
      <c r="C68" s="139">
        <v>0.003339787015918944</v>
      </c>
      <c r="D68" s="67" t="s">
        <v>2234</v>
      </c>
      <c r="E68" s="67" t="b">
        <v>0</v>
      </c>
      <c r="F68" s="67" t="b">
        <v>0</v>
      </c>
      <c r="G68" s="67" t="b">
        <v>0</v>
      </c>
    </row>
    <row r="69" spans="1:7" ht="15">
      <c r="A69" s="136" t="s">
        <v>2075</v>
      </c>
      <c r="B69" s="67">
        <v>2</v>
      </c>
      <c r="C69" s="139">
        <v>0.003339787015918944</v>
      </c>
      <c r="D69" s="67" t="s">
        <v>2234</v>
      </c>
      <c r="E69" s="67" t="b">
        <v>0</v>
      </c>
      <c r="F69" s="67" t="b">
        <v>0</v>
      </c>
      <c r="G69" s="67" t="b">
        <v>0</v>
      </c>
    </row>
    <row r="70" spans="1:7" ht="15">
      <c r="A70" s="136" t="s">
        <v>2076</v>
      </c>
      <c r="B70" s="67">
        <v>2</v>
      </c>
      <c r="C70" s="139">
        <v>0.003339787015918944</v>
      </c>
      <c r="D70" s="67" t="s">
        <v>2234</v>
      </c>
      <c r="E70" s="67" t="b">
        <v>0</v>
      </c>
      <c r="F70" s="67" t="b">
        <v>0</v>
      </c>
      <c r="G70" s="67" t="b">
        <v>0</v>
      </c>
    </row>
    <row r="71" spans="1:7" ht="15">
      <c r="A71" s="136" t="s">
        <v>1819</v>
      </c>
      <c r="B71" s="67">
        <v>2</v>
      </c>
      <c r="C71" s="139">
        <v>0.003339787015918944</v>
      </c>
      <c r="D71" s="67" t="s">
        <v>2234</v>
      </c>
      <c r="E71" s="67" t="b">
        <v>0</v>
      </c>
      <c r="F71" s="67" t="b">
        <v>0</v>
      </c>
      <c r="G71" s="67" t="b">
        <v>0</v>
      </c>
    </row>
    <row r="72" spans="1:7" ht="15">
      <c r="A72" s="136" t="s">
        <v>2077</v>
      </c>
      <c r="B72" s="67">
        <v>2</v>
      </c>
      <c r="C72" s="139">
        <v>0.003339787015918944</v>
      </c>
      <c r="D72" s="67" t="s">
        <v>2234</v>
      </c>
      <c r="E72" s="67" t="b">
        <v>0</v>
      </c>
      <c r="F72" s="67" t="b">
        <v>0</v>
      </c>
      <c r="G72" s="67" t="b">
        <v>0</v>
      </c>
    </row>
    <row r="73" spans="1:7" ht="15">
      <c r="A73" s="136" t="s">
        <v>1820</v>
      </c>
      <c r="B73" s="67">
        <v>2</v>
      </c>
      <c r="C73" s="139">
        <v>0.003339787015918944</v>
      </c>
      <c r="D73" s="67" t="s">
        <v>2234</v>
      </c>
      <c r="E73" s="67" t="b">
        <v>0</v>
      </c>
      <c r="F73" s="67" t="b">
        <v>0</v>
      </c>
      <c r="G73" s="67" t="b">
        <v>0</v>
      </c>
    </row>
    <row r="74" spans="1:7" ht="15">
      <c r="A74" s="136" t="s">
        <v>2078</v>
      </c>
      <c r="B74" s="67">
        <v>2</v>
      </c>
      <c r="C74" s="139">
        <v>0.003339787015918944</v>
      </c>
      <c r="D74" s="67" t="s">
        <v>2234</v>
      </c>
      <c r="E74" s="67" t="b">
        <v>0</v>
      </c>
      <c r="F74" s="67" t="b">
        <v>0</v>
      </c>
      <c r="G74" s="67" t="b">
        <v>0</v>
      </c>
    </row>
    <row r="75" spans="1:7" ht="15">
      <c r="A75" s="136" t="s">
        <v>2079</v>
      </c>
      <c r="B75" s="67">
        <v>2</v>
      </c>
      <c r="C75" s="139">
        <v>0.003339787015918944</v>
      </c>
      <c r="D75" s="67" t="s">
        <v>2234</v>
      </c>
      <c r="E75" s="67" t="b">
        <v>0</v>
      </c>
      <c r="F75" s="67" t="b">
        <v>0</v>
      </c>
      <c r="G75" s="67" t="b">
        <v>0</v>
      </c>
    </row>
    <row r="76" spans="1:7" ht="15">
      <c r="A76" s="136" t="s">
        <v>2080</v>
      </c>
      <c r="B76" s="67">
        <v>2</v>
      </c>
      <c r="C76" s="139">
        <v>0.003339787015918944</v>
      </c>
      <c r="D76" s="67" t="s">
        <v>2234</v>
      </c>
      <c r="E76" s="67" t="b">
        <v>0</v>
      </c>
      <c r="F76" s="67" t="b">
        <v>0</v>
      </c>
      <c r="G76" s="67" t="b">
        <v>0</v>
      </c>
    </row>
    <row r="77" spans="1:7" ht="15">
      <c r="A77" s="136" t="s">
        <v>2081</v>
      </c>
      <c r="B77" s="67">
        <v>2</v>
      </c>
      <c r="C77" s="139">
        <v>0.003339787015918944</v>
      </c>
      <c r="D77" s="67" t="s">
        <v>2234</v>
      </c>
      <c r="E77" s="67" t="b">
        <v>0</v>
      </c>
      <c r="F77" s="67" t="b">
        <v>0</v>
      </c>
      <c r="G77" s="67" t="b">
        <v>0</v>
      </c>
    </row>
    <row r="78" spans="1:7" ht="15">
      <c r="A78" s="136" t="s">
        <v>2082</v>
      </c>
      <c r="B78" s="67">
        <v>2</v>
      </c>
      <c r="C78" s="139">
        <v>0.003339787015918944</v>
      </c>
      <c r="D78" s="67" t="s">
        <v>2234</v>
      </c>
      <c r="E78" s="67" t="b">
        <v>0</v>
      </c>
      <c r="F78" s="67" t="b">
        <v>0</v>
      </c>
      <c r="G78" s="67" t="b">
        <v>0</v>
      </c>
    </row>
    <row r="79" spans="1:7" ht="15">
      <c r="A79" s="136" t="s">
        <v>2083</v>
      </c>
      <c r="B79" s="67">
        <v>2</v>
      </c>
      <c r="C79" s="139">
        <v>0.003339787015918944</v>
      </c>
      <c r="D79" s="67" t="s">
        <v>2234</v>
      </c>
      <c r="E79" s="67" t="b">
        <v>0</v>
      </c>
      <c r="F79" s="67" t="b">
        <v>0</v>
      </c>
      <c r="G79" s="67" t="b">
        <v>0</v>
      </c>
    </row>
    <row r="80" spans="1:7" ht="15">
      <c r="A80" s="136" t="s">
        <v>2084</v>
      </c>
      <c r="B80" s="67">
        <v>2</v>
      </c>
      <c r="C80" s="139">
        <v>0.003339787015918944</v>
      </c>
      <c r="D80" s="67" t="s">
        <v>2234</v>
      </c>
      <c r="E80" s="67" t="b">
        <v>0</v>
      </c>
      <c r="F80" s="67" t="b">
        <v>0</v>
      </c>
      <c r="G80" s="67" t="b">
        <v>0</v>
      </c>
    </row>
    <row r="81" spans="1:7" ht="15">
      <c r="A81" s="136" t="s">
        <v>2085</v>
      </c>
      <c r="B81" s="67">
        <v>2</v>
      </c>
      <c r="C81" s="139">
        <v>0.003339787015918944</v>
      </c>
      <c r="D81" s="67" t="s">
        <v>2234</v>
      </c>
      <c r="E81" s="67" t="b">
        <v>0</v>
      </c>
      <c r="F81" s="67" t="b">
        <v>0</v>
      </c>
      <c r="G81" s="67" t="b">
        <v>0</v>
      </c>
    </row>
    <row r="82" spans="1:7" ht="15">
      <c r="A82" s="136" t="s">
        <v>1846</v>
      </c>
      <c r="B82" s="67">
        <v>2</v>
      </c>
      <c r="C82" s="139">
        <v>0.003339787015918944</v>
      </c>
      <c r="D82" s="67" t="s">
        <v>2234</v>
      </c>
      <c r="E82" s="67" t="b">
        <v>0</v>
      </c>
      <c r="F82" s="67" t="b">
        <v>0</v>
      </c>
      <c r="G82" s="67" t="b">
        <v>0</v>
      </c>
    </row>
    <row r="83" spans="1:7" ht="15">
      <c r="A83" s="136" t="s">
        <v>2086</v>
      </c>
      <c r="B83" s="67">
        <v>2</v>
      </c>
      <c r="C83" s="139">
        <v>0.003339787015918944</v>
      </c>
      <c r="D83" s="67" t="s">
        <v>2234</v>
      </c>
      <c r="E83" s="67" t="b">
        <v>0</v>
      </c>
      <c r="F83" s="67" t="b">
        <v>0</v>
      </c>
      <c r="G83" s="67" t="b">
        <v>0</v>
      </c>
    </row>
    <row r="84" spans="1:7" ht="15">
      <c r="A84" s="136" t="s">
        <v>1836</v>
      </c>
      <c r="B84" s="67">
        <v>2</v>
      </c>
      <c r="C84" s="139">
        <v>0.003339787015918944</v>
      </c>
      <c r="D84" s="67" t="s">
        <v>2234</v>
      </c>
      <c r="E84" s="67" t="b">
        <v>0</v>
      </c>
      <c r="F84" s="67" t="b">
        <v>0</v>
      </c>
      <c r="G84" s="67" t="b">
        <v>0</v>
      </c>
    </row>
    <row r="85" spans="1:7" ht="15">
      <c r="A85" s="136" t="s">
        <v>2087</v>
      </c>
      <c r="B85" s="67">
        <v>2</v>
      </c>
      <c r="C85" s="139">
        <v>0.003339787015918944</v>
      </c>
      <c r="D85" s="67" t="s">
        <v>2234</v>
      </c>
      <c r="E85" s="67" t="b">
        <v>0</v>
      </c>
      <c r="F85" s="67" t="b">
        <v>0</v>
      </c>
      <c r="G85" s="67" t="b">
        <v>0</v>
      </c>
    </row>
    <row r="86" spans="1:7" ht="15">
      <c r="A86" s="136" t="s">
        <v>2088</v>
      </c>
      <c r="B86" s="67">
        <v>2</v>
      </c>
      <c r="C86" s="139">
        <v>0.003339787015918944</v>
      </c>
      <c r="D86" s="67" t="s">
        <v>2234</v>
      </c>
      <c r="E86" s="67" t="b">
        <v>0</v>
      </c>
      <c r="F86" s="67" t="b">
        <v>0</v>
      </c>
      <c r="G86" s="67" t="b">
        <v>0</v>
      </c>
    </row>
    <row r="87" spans="1:7" ht="15">
      <c r="A87" s="136" t="s">
        <v>2089</v>
      </c>
      <c r="B87" s="67">
        <v>2</v>
      </c>
      <c r="C87" s="139">
        <v>0.003339787015918944</v>
      </c>
      <c r="D87" s="67" t="s">
        <v>2234</v>
      </c>
      <c r="E87" s="67" t="b">
        <v>0</v>
      </c>
      <c r="F87" s="67" t="b">
        <v>0</v>
      </c>
      <c r="G87" s="67" t="b">
        <v>0</v>
      </c>
    </row>
    <row r="88" spans="1:7" ht="15">
      <c r="A88" s="136" t="s">
        <v>2090</v>
      </c>
      <c r="B88" s="67">
        <v>2</v>
      </c>
      <c r="C88" s="139">
        <v>0.003339787015918944</v>
      </c>
      <c r="D88" s="67" t="s">
        <v>2234</v>
      </c>
      <c r="E88" s="67" t="b">
        <v>0</v>
      </c>
      <c r="F88" s="67" t="b">
        <v>0</v>
      </c>
      <c r="G88" s="67" t="b">
        <v>0</v>
      </c>
    </row>
    <row r="89" spans="1:7" ht="15">
      <c r="A89" s="136" t="s">
        <v>2091</v>
      </c>
      <c r="B89" s="67">
        <v>2</v>
      </c>
      <c r="C89" s="139">
        <v>0.003339787015918944</v>
      </c>
      <c r="D89" s="67" t="s">
        <v>2234</v>
      </c>
      <c r="E89" s="67" t="b">
        <v>0</v>
      </c>
      <c r="F89" s="67" t="b">
        <v>0</v>
      </c>
      <c r="G89" s="67" t="b">
        <v>0</v>
      </c>
    </row>
    <row r="90" spans="1:7" ht="15">
      <c r="A90" s="136" t="s">
        <v>1845</v>
      </c>
      <c r="B90" s="67">
        <v>2</v>
      </c>
      <c r="C90" s="139">
        <v>0.003339787015918944</v>
      </c>
      <c r="D90" s="67" t="s">
        <v>2234</v>
      </c>
      <c r="E90" s="67" t="b">
        <v>0</v>
      </c>
      <c r="F90" s="67" t="b">
        <v>0</v>
      </c>
      <c r="G90" s="67" t="b">
        <v>0</v>
      </c>
    </row>
    <row r="91" spans="1:7" ht="15">
      <c r="A91" s="136" t="s">
        <v>1823</v>
      </c>
      <c r="B91" s="67">
        <v>2</v>
      </c>
      <c r="C91" s="139">
        <v>0.003339787015918944</v>
      </c>
      <c r="D91" s="67" t="s">
        <v>2234</v>
      </c>
      <c r="E91" s="67" t="b">
        <v>0</v>
      </c>
      <c r="F91" s="67" t="b">
        <v>0</v>
      </c>
      <c r="G91" s="67" t="b">
        <v>0</v>
      </c>
    </row>
    <row r="92" spans="1:7" ht="15">
      <c r="A92" s="136" t="s">
        <v>2092</v>
      </c>
      <c r="B92" s="67">
        <v>2</v>
      </c>
      <c r="C92" s="139">
        <v>0.003339787015918944</v>
      </c>
      <c r="D92" s="67" t="s">
        <v>2234</v>
      </c>
      <c r="E92" s="67" t="b">
        <v>0</v>
      </c>
      <c r="F92" s="67" t="b">
        <v>0</v>
      </c>
      <c r="G92" s="67" t="b">
        <v>0</v>
      </c>
    </row>
    <row r="93" spans="1:7" ht="15">
      <c r="A93" s="136" t="s">
        <v>2093</v>
      </c>
      <c r="B93" s="67">
        <v>2</v>
      </c>
      <c r="C93" s="139">
        <v>0.003339787015918944</v>
      </c>
      <c r="D93" s="67" t="s">
        <v>2234</v>
      </c>
      <c r="E93" s="67" t="b">
        <v>0</v>
      </c>
      <c r="F93" s="67" t="b">
        <v>0</v>
      </c>
      <c r="G93" s="67" t="b">
        <v>0</v>
      </c>
    </row>
    <row r="94" spans="1:7" ht="15">
      <c r="A94" s="136" t="s">
        <v>2094</v>
      </c>
      <c r="B94" s="67">
        <v>2</v>
      </c>
      <c r="C94" s="139">
        <v>0.003339787015918944</v>
      </c>
      <c r="D94" s="67" t="s">
        <v>2234</v>
      </c>
      <c r="E94" s="67" t="b">
        <v>0</v>
      </c>
      <c r="F94" s="67" t="b">
        <v>0</v>
      </c>
      <c r="G94" s="67" t="b">
        <v>0</v>
      </c>
    </row>
    <row r="95" spans="1:7" ht="15">
      <c r="A95" s="136" t="s">
        <v>952</v>
      </c>
      <c r="B95" s="67">
        <v>2</v>
      </c>
      <c r="C95" s="139">
        <v>0.003339787015918944</v>
      </c>
      <c r="D95" s="67" t="s">
        <v>2234</v>
      </c>
      <c r="E95" s="67" t="b">
        <v>0</v>
      </c>
      <c r="F95" s="67" t="b">
        <v>0</v>
      </c>
      <c r="G95" s="67" t="b">
        <v>0</v>
      </c>
    </row>
    <row r="96" spans="1:7" ht="15">
      <c r="A96" s="136" t="s">
        <v>2095</v>
      </c>
      <c r="B96" s="67">
        <v>2</v>
      </c>
      <c r="C96" s="139">
        <v>0.003339787015918944</v>
      </c>
      <c r="D96" s="67" t="s">
        <v>2234</v>
      </c>
      <c r="E96" s="67" t="b">
        <v>0</v>
      </c>
      <c r="F96" s="67" t="b">
        <v>0</v>
      </c>
      <c r="G96" s="67" t="b">
        <v>0</v>
      </c>
    </row>
    <row r="97" spans="1:7" ht="15">
      <c r="A97" s="136" t="s">
        <v>2096</v>
      </c>
      <c r="B97" s="67">
        <v>2</v>
      </c>
      <c r="C97" s="139">
        <v>0.003339787015918944</v>
      </c>
      <c r="D97" s="67" t="s">
        <v>2234</v>
      </c>
      <c r="E97" s="67" t="b">
        <v>0</v>
      </c>
      <c r="F97" s="67" t="b">
        <v>0</v>
      </c>
      <c r="G97" s="67" t="b">
        <v>0</v>
      </c>
    </row>
    <row r="98" spans="1:7" ht="15">
      <c r="A98" s="136" t="s">
        <v>2097</v>
      </c>
      <c r="B98" s="67">
        <v>2</v>
      </c>
      <c r="C98" s="139">
        <v>0.003339787015918944</v>
      </c>
      <c r="D98" s="67" t="s">
        <v>2234</v>
      </c>
      <c r="E98" s="67" t="b">
        <v>0</v>
      </c>
      <c r="F98" s="67" t="b">
        <v>0</v>
      </c>
      <c r="G98" s="67" t="b">
        <v>0</v>
      </c>
    </row>
    <row r="99" spans="1:7" ht="15">
      <c r="A99" s="136" t="s">
        <v>2098</v>
      </c>
      <c r="B99" s="67">
        <v>2</v>
      </c>
      <c r="C99" s="139">
        <v>0.003339787015918944</v>
      </c>
      <c r="D99" s="67" t="s">
        <v>2234</v>
      </c>
      <c r="E99" s="67" t="b">
        <v>0</v>
      </c>
      <c r="F99" s="67" t="b">
        <v>0</v>
      </c>
      <c r="G99" s="67" t="b">
        <v>0</v>
      </c>
    </row>
    <row r="100" spans="1:7" ht="15">
      <c r="A100" s="136" t="s">
        <v>1817</v>
      </c>
      <c r="B100" s="67">
        <v>2</v>
      </c>
      <c r="C100" s="139">
        <v>0.003339787015918944</v>
      </c>
      <c r="D100" s="67" t="s">
        <v>2234</v>
      </c>
      <c r="E100" s="67" t="b">
        <v>0</v>
      </c>
      <c r="F100" s="67" t="b">
        <v>0</v>
      </c>
      <c r="G100" s="67" t="b">
        <v>0</v>
      </c>
    </row>
    <row r="101" spans="1:7" ht="15">
      <c r="A101" s="136" t="s">
        <v>2099</v>
      </c>
      <c r="B101" s="67">
        <v>2</v>
      </c>
      <c r="C101" s="139">
        <v>0.003339787015918944</v>
      </c>
      <c r="D101" s="67" t="s">
        <v>2234</v>
      </c>
      <c r="E101" s="67" t="b">
        <v>0</v>
      </c>
      <c r="F101" s="67" t="b">
        <v>0</v>
      </c>
      <c r="G101" s="67" t="b">
        <v>0</v>
      </c>
    </row>
    <row r="102" spans="1:7" ht="15">
      <c r="A102" s="136" t="s">
        <v>2100</v>
      </c>
      <c r="B102" s="67">
        <v>2</v>
      </c>
      <c r="C102" s="139">
        <v>0.003339787015918944</v>
      </c>
      <c r="D102" s="67" t="s">
        <v>2234</v>
      </c>
      <c r="E102" s="67" t="b">
        <v>0</v>
      </c>
      <c r="F102" s="67" t="b">
        <v>0</v>
      </c>
      <c r="G102" s="67" t="b">
        <v>0</v>
      </c>
    </row>
    <row r="103" spans="1:7" ht="15">
      <c r="A103" s="136" t="s">
        <v>2101</v>
      </c>
      <c r="B103" s="67">
        <v>2</v>
      </c>
      <c r="C103" s="139">
        <v>0.003339787015918944</v>
      </c>
      <c r="D103" s="67" t="s">
        <v>2234</v>
      </c>
      <c r="E103" s="67" t="b">
        <v>0</v>
      </c>
      <c r="F103" s="67" t="b">
        <v>0</v>
      </c>
      <c r="G103" s="67" t="b">
        <v>0</v>
      </c>
    </row>
    <row r="104" spans="1:7" ht="15">
      <c r="A104" s="136" t="s">
        <v>2102</v>
      </c>
      <c r="B104" s="67">
        <v>2</v>
      </c>
      <c r="C104" s="139">
        <v>0.003339787015918944</v>
      </c>
      <c r="D104" s="67" t="s">
        <v>2234</v>
      </c>
      <c r="E104" s="67" t="b">
        <v>0</v>
      </c>
      <c r="F104" s="67" t="b">
        <v>0</v>
      </c>
      <c r="G104" s="67" t="b">
        <v>0</v>
      </c>
    </row>
    <row r="105" spans="1:7" ht="15">
      <c r="A105" s="136" t="s">
        <v>931</v>
      </c>
      <c r="B105" s="67">
        <v>2</v>
      </c>
      <c r="C105" s="139">
        <v>0.003339787015918944</v>
      </c>
      <c r="D105" s="67" t="s">
        <v>2234</v>
      </c>
      <c r="E105" s="67" t="b">
        <v>0</v>
      </c>
      <c r="F105" s="67" t="b">
        <v>0</v>
      </c>
      <c r="G105" s="67" t="b">
        <v>0</v>
      </c>
    </row>
    <row r="106" spans="1:7" ht="15">
      <c r="A106" s="136" t="s">
        <v>943</v>
      </c>
      <c r="B106" s="67">
        <v>2</v>
      </c>
      <c r="C106" s="139">
        <v>0.003339787015918944</v>
      </c>
      <c r="D106" s="67" t="s">
        <v>2234</v>
      </c>
      <c r="E106" s="67" t="b">
        <v>0</v>
      </c>
      <c r="F106" s="67" t="b">
        <v>0</v>
      </c>
      <c r="G106" s="67" t="b">
        <v>0</v>
      </c>
    </row>
    <row r="107" spans="1:7" ht="15">
      <c r="A107" s="136" t="s">
        <v>2103</v>
      </c>
      <c r="B107" s="67">
        <v>2</v>
      </c>
      <c r="C107" s="139">
        <v>0.003339787015918944</v>
      </c>
      <c r="D107" s="67" t="s">
        <v>2234</v>
      </c>
      <c r="E107" s="67" t="b">
        <v>0</v>
      </c>
      <c r="F107" s="67" t="b">
        <v>0</v>
      </c>
      <c r="G107" s="67" t="b">
        <v>0</v>
      </c>
    </row>
    <row r="108" spans="1:7" ht="15">
      <c r="A108" s="136" t="s">
        <v>2104</v>
      </c>
      <c r="B108" s="67">
        <v>2</v>
      </c>
      <c r="C108" s="139">
        <v>0.003339787015918944</v>
      </c>
      <c r="D108" s="67" t="s">
        <v>2234</v>
      </c>
      <c r="E108" s="67" t="b">
        <v>0</v>
      </c>
      <c r="F108" s="67" t="b">
        <v>0</v>
      </c>
      <c r="G108" s="67" t="b">
        <v>0</v>
      </c>
    </row>
    <row r="109" spans="1:7" ht="15">
      <c r="A109" s="136" t="s">
        <v>1818</v>
      </c>
      <c r="B109" s="67">
        <v>2</v>
      </c>
      <c r="C109" s="139">
        <v>0.003339787015918944</v>
      </c>
      <c r="D109" s="67" t="s">
        <v>2234</v>
      </c>
      <c r="E109" s="67" t="b">
        <v>0</v>
      </c>
      <c r="F109" s="67" t="b">
        <v>0</v>
      </c>
      <c r="G109" s="67" t="b">
        <v>0</v>
      </c>
    </row>
    <row r="110" spans="1:7" ht="15">
      <c r="A110" s="136" t="s">
        <v>2105</v>
      </c>
      <c r="B110" s="67">
        <v>2</v>
      </c>
      <c r="C110" s="139">
        <v>0.003339787015918944</v>
      </c>
      <c r="D110" s="67" t="s">
        <v>2234</v>
      </c>
      <c r="E110" s="67" t="b">
        <v>0</v>
      </c>
      <c r="F110" s="67" t="b">
        <v>0</v>
      </c>
      <c r="G110" s="67" t="b">
        <v>0</v>
      </c>
    </row>
    <row r="111" spans="1:7" ht="15">
      <c r="A111" s="136" t="s">
        <v>2106</v>
      </c>
      <c r="B111" s="67">
        <v>2</v>
      </c>
      <c r="C111" s="139">
        <v>0.003339787015918944</v>
      </c>
      <c r="D111" s="67" t="s">
        <v>2234</v>
      </c>
      <c r="E111" s="67" t="b">
        <v>0</v>
      </c>
      <c r="F111" s="67" t="b">
        <v>0</v>
      </c>
      <c r="G111" s="67" t="b">
        <v>0</v>
      </c>
    </row>
    <row r="112" spans="1:7" ht="15">
      <c r="A112" s="136" t="s">
        <v>2107</v>
      </c>
      <c r="B112" s="67">
        <v>2</v>
      </c>
      <c r="C112" s="139">
        <v>0.003339787015918944</v>
      </c>
      <c r="D112" s="67" t="s">
        <v>2234</v>
      </c>
      <c r="E112" s="67" t="b">
        <v>0</v>
      </c>
      <c r="F112" s="67" t="b">
        <v>0</v>
      </c>
      <c r="G112" s="67" t="b">
        <v>0</v>
      </c>
    </row>
    <row r="113" spans="1:7" ht="15">
      <c r="A113" s="136" t="s">
        <v>2108</v>
      </c>
      <c r="B113" s="67">
        <v>2</v>
      </c>
      <c r="C113" s="139">
        <v>0.003339787015918944</v>
      </c>
      <c r="D113" s="67" t="s">
        <v>2234</v>
      </c>
      <c r="E113" s="67" t="b">
        <v>0</v>
      </c>
      <c r="F113" s="67" t="b">
        <v>0</v>
      </c>
      <c r="G113" s="67" t="b">
        <v>0</v>
      </c>
    </row>
    <row r="114" spans="1:7" ht="15">
      <c r="A114" s="136" t="s">
        <v>2109</v>
      </c>
      <c r="B114" s="67">
        <v>2</v>
      </c>
      <c r="C114" s="139">
        <v>0.003339787015918944</v>
      </c>
      <c r="D114" s="67" t="s">
        <v>2234</v>
      </c>
      <c r="E114" s="67" t="b">
        <v>0</v>
      </c>
      <c r="F114" s="67" t="b">
        <v>0</v>
      </c>
      <c r="G114" s="67" t="b">
        <v>0</v>
      </c>
    </row>
    <row r="115" spans="1:7" ht="15">
      <c r="A115" s="136" t="s">
        <v>933</v>
      </c>
      <c r="B115" s="67">
        <v>2</v>
      </c>
      <c r="C115" s="139">
        <v>0.003339787015918944</v>
      </c>
      <c r="D115" s="67" t="s">
        <v>2234</v>
      </c>
      <c r="E115" s="67" t="b">
        <v>0</v>
      </c>
      <c r="F115" s="67" t="b">
        <v>0</v>
      </c>
      <c r="G115" s="67" t="b">
        <v>0</v>
      </c>
    </row>
    <row r="116" spans="1:7" ht="15">
      <c r="A116" s="136" t="s">
        <v>2110</v>
      </c>
      <c r="B116" s="67">
        <v>2</v>
      </c>
      <c r="C116" s="139">
        <v>0.003339787015918944</v>
      </c>
      <c r="D116" s="67" t="s">
        <v>2234</v>
      </c>
      <c r="E116" s="67" t="b">
        <v>0</v>
      </c>
      <c r="F116" s="67" t="b">
        <v>0</v>
      </c>
      <c r="G116" s="67" t="b">
        <v>0</v>
      </c>
    </row>
    <row r="117" spans="1:7" ht="15">
      <c r="A117" s="136" t="s">
        <v>2111</v>
      </c>
      <c r="B117" s="67">
        <v>2</v>
      </c>
      <c r="C117" s="139">
        <v>0.003339787015918944</v>
      </c>
      <c r="D117" s="67" t="s">
        <v>2234</v>
      </c>
      <c r="E117" s="67" t="b">
        <v>0</v>
      </c>
      <c r="F117" s="67" t="b">
        <v>0</v>
      </c>
      <c r="G117" s="67" t="b">
        <v>0</v>
      </c>
    </row>
    <row r="118" spans="1:7" ht="15">
      <c r="A118" s="136" t="s">
        <v>954</v>
      </c>
      <c r="B118" s="67">
        <v>2</v>
      </c>
      <c r="C118" s="139">
        <v>0.003339787015918944</v>
      </c>
      <c r="D118" s="67" t="s">
        <v>2234</v>
      </c>
      <c r="E118" s="67" t="b">
        <v>0</v>
      </c>
      <c r="F118" s="67" t="b">
        <v>0</v>
      </c>
      <c r="G118" s="67" t="b">
        <v>0</v>
      </c>
    </row>
    <row r="119" spans="1:7" ht="15">
      <c r="A119" s="136" t="s">
        <v>2112</v>
      </c>
      <c r="B119" s="67">
        <v>2</v>
      </c>
      <c r="C119" s="139">
        <v>0.003339787015918944</v>
      </c>
      <c r="D119" s="67" t="s">
        <v>2234</v>
      </c>
      <c r="E119" s="67" t="b">
        <v>0</v>
      </c>
      <c r="F119" s="67" t="b">
        <v>0</v>
      </c>
      <c r="G119" s="67" t="b">
        <v>0</v>
      </c>
    </row>
    <row r="120" spans="1:7" ht="15">
      <c r="A120" s="136" t="s">
        <v>2113</v>
      </c>
      <c r="B120" s="67">
        <v>2</v>
      </c>
      <c r="C120" s="139">
        <v>0.003339787015918944</v>
      </c>
      <c r="D120" s="67" t="s">
        <v>2234</v>
      </c>
      <c r="E120" s="67" t="b">
        <v>0</v>
      </c>
      <c r="F120" s="67" t="b">
        <v>0</v>
      </c>
      <c r="G120" s="67" t="b">
        <v>0</v>
      </c>
    </row>
    <row r="121" spans="1:7" ht="15">
      <c r="A121" s="136" t="s">
        <v>2114</v>
      </c>
      <c r="B121" s="67">
        <v>2</v>
      </c>
      <c r="C121" s="139">
        <v>0.003339787015918944</v>
      </c>
      <c r="D121" s="67" t="s">
        <v>2234</v>
      </c>
      <c r="E121" s="67" t="b">
        <v>0</v>
      </c>
      <c r="F121" s="67" t="b">
        <v>0</v>
      </c>
      <c r="G121" s="67" t="b">
        <v>0</v>
      </c>
    </row>
    <row r="122" spans="1:7" ht="15">
      <c r="A122" s="136" t="s">
        <v>2115</v>
      </c>
      <c r="B122" s="67">
        <v>2</v>
      </c>
      <c r="C122" s="139">
        <v>0.003339787015918944</v>
      </c>
      <c r="D122" s="67" t="s">
        <v>2234</v>
      </c>
      <c r="E122" s="67" t="b">
        <v>0</v>
      </c>
      <c r="F122" s="67" t="b">
        <v>0</v>
      </c>
      <c r="G122" s="67" t="b">
        <v>0</v>
      </c>
    </row>
    <row r="123" spans="1:7" ht="15">
      <c r="A123" s="136" t="s">
        <v>2116</v>
      </c>
      <c r="B123" s="67">
        <v>2</v>
      </c>
      <c r="C123" s="139">
        <v>0.003339787015918944</v>
      </c>
      <c r="D123" s="67" t="s">
        <v>2234</v>
      </c>
      <c r="E123" s="67" t="b">
        <v>0</v>
      </c>
      <c r="F123" s="67" t="b">
        <v>0</v>
      </c>
      <c r="G123" s="67" t="b">
        <v>0</v>
      </c>
    </row>
    <row r="124" spans="1:7" ht="15">
      <c r="A124" s="136" t="s">
        <v>2117</v>
      </c>
      <c r="B124" s="67">
        <v>2</v>
      </c>
      <c r="C124" s="139">
        <v>0.003339787015918944</v>
      </c>
      <c r="D124" s="67" t="s">
        <v>2234</v>
      </c>
      <c r="E124" s="67" t="b">
        <v>0</v>
      </c>
      <c r="F124" s="67" t="b">
        <v>0</v>
      </c>
      <c r="G124" s="67" t="b">
        <v>0</v>
      </c>
    </row>
    <row r="125" spans="1:7" ht="15">
      <c r="A125" s="136" t="s">
        <v>2118</v>
      </c>
      <c r="B125" s="67">
        <v>2</v>
      </c>
      <c r="C125" s="139">
        <v>0.003339787015918944</v>
      </c>
      <c r="D125" s="67" t="s">
        <v>2234</v>
      </c>
      <c r="E125" s="67" t="b">
        <v>0</v>
      </c>
      <c r="F125" s="67" t="b">
        <v>0</v>
      </c>
      <c r="G125" s="67" t="b">
        <v>0</v>
      </c>
    </row>
    <row r="126" spans="1:7" ht="15">
      <c r="A126" s="136" t="s">
        <v>2119</v>
      </c>
      <c r="B126" s="67">
        <v>2</v>
      </c>
      <c r="C126" s="139">
        <v>0.003339787015918944</v>
      </c>
      <c r="D126" s="67" t="s">
        <v>2234</v>
      </c>
      <c r="E126" s="67" t="b">
        <v>0</v>
      </c>
      <c r="F126" s="67" t="b">
        <v>0</v>
      </c>
      <c r="G126" s="67" t="b">
        <v>0</v>
      </c>
    </row>
    <row r="127" spans="1:7" ht="15">
      <c r="A127" s="136" t="s">
        <v>2120</v>
      </c>
      <c r="B127" s="67">
        <v>2</v>
      </c>
      <c r="C127" s="139">
        <v>0.003339787015918944</v>
      </c>
      <c r="D127" s="67" t="s">
        <v>2234</v>
      </c>
      <c r="E127" s="67" t="b">
        <v>0</v>
      </c>
      <c r="F127" s="67" t="b">
        <v>0</v>
      </c>
      <c r="G127" s="67" t="b">
        <v>0</v>
      </c>
    </row>
    <row r="128" spans="1:7" ht="15">
      <c r="A128" s="136" t="s">
        <v>2121</v>
      </c>
      <c r="B128" s="67">
        <v>2</v>
      </c>
      <c r="C128" s="139">
        <v>0.003339787015918944</v>
      </c>
      <c r="D128" s="67" t="s">
        <v>2234</v>
      </c>
      <c r="E128" s="67" t="b">
        <v>0</v>
      </c>
      <c r="F128" s="67" t="b">
        <v>0</v>
      </c>
      <c r="G128" s="67" t="b">
        <v>0</v>
      </c>
    </row>
    <row r="129" spans="1:7" ht="15">
      <c r="A129" s="136" t="s">
        <v>2122</v>
      </c>
      <c r="B129" s="67">
        <v>2</v>
      </c>
      <c r="C129" s="139">
        <v>0.003339787015918944</v>
      </c>
      <c r="D129" s="67" t="s">
        <v>2234</v>
      </c>
      <c r="E129" s="67" t="b">
        <v>0</v>
      </c>
      <c r="F129" s="67" t="b">
        <v>0</v>
      </c>
      <c r="G129" s="67" t="b">
        <v>0</v>
      </c>
    </row>
    <row r="130" spans="1:7" ht="15">
      <c r="A130" s="136" t="s">
        <v>2123</v>
      </c>
      <c r="B130" s="67">
        <v>2</v>
      </c>
      <c r="C130" s="139">
        <v>0.003339787015918944</v>
      </c>
      <c r="D130" s="67" t="s">
        <v>2234</v>
      </c>
      <c r="E130" s="67" t="b">
        <v>0</v>
      </c>
      <c r="F130" s="67" t="b">
        <v>0</v>
      </c>
      <c r="G130" s="67" t="b">
        <v>0</v>
      </c>
    </row>
    <row r="131" spans="1:7" ht="15">
      <c r="A131" s="136" t="s">
        <v>2124</v>
      </c>
      <c r="B131" s="67">
        <v>2</v>
      </c>
      <c r="C131" s="139">
        <v>0.003339787015918944</v>
      </c>
      <c r="D131" s="67" t="s">
        <v>2234</v>
      </c>
      <c r="E131" s="67" t="b">
        <v>0</v>
      </c>
      <c r="F131" s="67" t="b">
        <v>0</v>
      </c>
      <c r="G131" s="67" t="b">
        <v>0</v>
      </c>
    </row>
    <row r="132" spans="1:7" ht="15">
      <c r="A132" s="136" t="s">
        <v>2125</v>
      </c>
      <c r="B132" s="67">
        <v>2</v>
      </c>
      <c r="C132" s="139">
        <v>0.003339787015918944</v>
      </c>
      <c r="D132" s="67" t="s">
        <v>2234</v>
      </c>
      <c r="E132" s="67" t="b">
        <v>0</v>
      </c>
      <c r="F132" s="67" t="b">
        <v>0</v>
      </c>
      <c r="G132" s="67" t="b">
        <v>0</v>
      </c>
    </row>
    <row r="133" spans="1:7" ht="15">
      <c r="A133" s="136" t="s">
        <v>2126</v>
      </c>
      <c r="B133" s="67">
        <v>2</v>
      </c>
      <c r="C133" s="139">
        <v>0.003339787015918944</v>
      </c>
      <c r="D133" s="67" t="s">
        <v>2234</v>
      </c>
      <c r="E133" s="67" t="b">
        <v>0</v>
      </c>
      <c r="F133" s="67" t="b">
        <v>0</v>
      </c>
      <c r="G133" s="67" t="b">
        <v>0</v>
      </c>
    </row>
    <row r="134" spans="1:7" ht="15">
      <c r="A134" s="136" t="s">
        <v>2127</v>
      </c>
      <c r="B134" s="67">
        <v>2</v>
      </c>
      <c r="C134" s="139">
        <v>0.003339787015918944</v>
      </c>
      <c r="D134" s="67" t="s">
        <v>2234</v>
      </c>
      <c r="E134" s="67" t="b">
        <v>0</v>
      </c>
      <c r="F134" s="67" t="b">
        <v>0</v>
      </c>
      <c r="G134" s="67" t="b">
        <v>0</v>
      </c>
    </row>
    <row r="135" spans="1:7" ht="15">
      <c r="A135" s="136" t="s">
        <v>2128</v>
      </c>
      <c r="B135" s="67">
        <v>2</v>
      </c>
      <c r="C135" s="139">
        <v>0.003339787015918944</v>
      </c>
      <c r="D135" s="67" t="s">
        <v>2234</v>
      </c>
      <c r="E135" s="67" t="b">
        <v>0</v>
      </c>
      <c r="F135" s="67" t="b">
        <v>0</v>
      </c>
      <c r="G135" s="67" t="b">
        <v>0</v>
      </c>
    </row>
    <row r="136" spans="1:7" ht="15">
      <c r="A136" s="136" t="s">
        <v>2129</v>
      </c>
      <c r="B136" s="67">
        <v>2</v>
      </c>
      <c r="C136" s="139">
        <v>0.003339787015918944</v>
      </c>
      <c r="D136" s="67" t="s">
        <v>2234</v>
      </c>
      <c r="E136" s="67" t="b">
        <v>0</v>
      </c>
      <c r="F136" s="67" t="b">
        <v>0</v>
      </c>
      <c r="G136" s="67" t="b">
        <v>0</v>
      </c>
    </row>
    <row r="137" spans="1:7" ht="15">
      <c r="A137" s="136" t="s">
        <v>2130</v>
      </c>
      <c r="B137" s="67">
        <v>2</v>
      </c>
      <c r="C137" s="139">
        <v>0.003339787015918944</v>
      </c>
      <c r="D137" s="67" t="s">
        <v>2234</v>
      </c>
      <c r="E137" s="67" t="b">
        <v>0</v>
      </c>
      <c r="F137" s="67" t="b">
        <v>0</v>
      </c>
      <c r="G137" s="67" t="b">
        <v>0</v>
      </c>
    </row>
    <row r="138" spans="1:7" ht="15">
      <c r="A138" s="136" t="s">
        <v>2131</v>
      </c>
      <c r="B138" s="67">
        <v>2</v>
      </c>
      <c r="C138" s="139">
        <v>0.003339787015918944</v>
      </c>
      <c r="D138" s="67" t="s">
        <v>2234</v>
      </c>
      <c r="E138" s="67" t="b">
        <v>0</v>
      </c>
      <c r="F138" s="67" t="b">
        <v>0</v>
      </c>
      <c r="G138" s="67" t="b">
        <v>0</v>
      </c>
    </row>
    <row r="139" spans="1:7" ht="15">
      <c r="A139" s="136" t="s">
        <v>1829</v>
      </c>
      <c r="B139" s="67">
        <v>2</v>
      </c>
      <c r="C139" s="139">
        <v>0.003339787015918944</v>
      </c>
      <c r="D139" s="67" t="s">
        <v>2234</v>
      </c>
      <c r="E139" s="67" t="b">
        <v>0</v>
      </c>
      <c r="F139" s="67" t="b">
        <v>0</v>
      </c>
      <c r="G139" s="67" t="b">
        <v>0</v>
      </c>
    </row>
    <row r="140" spans="1:7" ht="15">
      <c r="A140" s="136" t="s">
        <v>2132</v>
      </c>
      <c r="B140" s="67">
        <v>2</v>
      </c>
      <c r="C140" s="139">
        <v>0.003339787015918944</v>
      </c>
      <c r="D140" s="67" t="s">
        <v>2234</v>
      </c>
      <c r="E140" s="67" t="b">
        <v>0</v>
      </c>
      <c r="F140" s="67" t="b">
        <v>0</v>
      </c>
      <c r="G140" s="67" t="b">
        <v>0</v>
      </c>
    </row>
    <row r="141" spans="1:7" ht="15">
      <c r="A141" s="136" t="s">
        <v>2133</v>
      </c>
      <c r="B141" s="67">
        <v>2</v>
      </c>
      <c r="C141" s="139">
        <v>0.003339787015918944</v>
      </c>
      <c r="D141" s="67" t="s">
        <v>2234</v>
      </c>
      <c r="E141" s="67" t="b">
        <v>0</v>
      </c>
      <c r="F141" s="67" t="b">
        <v>0</v>
      </c>
      <c r="G141" s="67" t="b">
        <v>0</v>
      </c>
    </row>
    <row r="142" spans="1:7" ht="15">
      <c r="A142" s="136" t="s">
        <v>2134</v>
      </c>
      <c r="B142" s="67">
        <v>2</v>
      </c>
      <c r="C142" s="139">
        <v>0.003339787015918944</v>
      </c>
      <c r="D142" s="67" t="s">
        <v>2234</v>
      </c>
      <c r="E142" s="67" t="b">
        <v>0</v>
      </c>
      <c r="F142" s="67" t="b">
        <v>0</v>
      </c>
      <c r="G142" s="67" t="b">
        <v>0</v>
      </c>
    </row>
    <row r="143" spans="1:7" ht="15">
      <c r="A143" s="136" t="s">
        <v>2135</v>
      </c>
      <c r="B143" s="67">
        <v>2</v>
      </c>
      <c r="C143" s="139">
        <v>0.003339787015918944</v>
      </c>
      <c r="D143" s="67" t="s">
        <v>2234</v>
      </c>
      <c r="E143" s="67" t="b">
        <v>0</v>
      </c>
      <c r="F143" s="67" t="b">
        <v>0</v>
      </c>
      <c r="G143" s="67" t="b">
        <v>0</v>
      </c>
    </row>
    <row r="144" spans="1:7" ht="15">
      <c r="A144" s="136" t="s">
        <v>2136</v>
      </c>
      <c r="B144" s="67">
        <v>2</v>
      </c>
      <c r="C144" s="139">
        <v>0.003339787015918944</v>
      </c>
      <c r="D144" s="67" t="s">
        <v>2234</v>
      </c>
      <c r="E144" s="67" t="b">
        <v>0</v>
      </c>
      <c r="F144" s="67" t="b">
        <v>0</v>
      </c>
      <c r="G144" s="67" t="b">
        <v>0</v>
      </c>
    </row>
    <row r="145" spans="1:7" ht="15">
      <c r="A145" s="136" t="s">
        <v>2137</v>
      </c>
      <c r="B145" s="67">
        <v>2</v>
      </c>
      <c r="C145" s="139">
        <v>0.003339787015918944</v>
      </c>
      <c r="D145" s="67" t="s">
        <v>2234</v>
      </c>
      <c r="E145" s="67" t="b">
        <v>0</v>
      </c>
      <c r="F145" s="67" t="b">
        <v>0</v>
      </c>
      <c r="G145" s="67" t="b">
        <v>0</v>
      </c>
    </row>
    <row r="146" spans="1:7" ht="15">
      <c r="A146" s="136" t="s">
        <v>2138</v>
      </c>
      <c r="B146" s="67">
        <v>2</v>
      </c>
      <c r="C146" s="139">
        <v>0.003339787015918944</v>
      </c>
      <c r="D146" s="67" t="s">
        <v>2234</v>
      </c>
      <c r="E146" s="67" t="b">
        <v>0</v>
      </c>
      <c r="F146" s="67" t="b">
        <v>0</v>
      </c>
      <c r="G146" s="67" t="b">
        <v>0</v>
      </c>
    </row>
    <row r="147" spans="1:7" ht="15">
      <c r="A147" s="136" t="s">
        <v>2139</v>
      </c>
      <c r="B147" s="67">
        <v>2</v>
      </c>
      <c r="C147" s="139">
        <v>0.003339787015918944</v>
      </c>
      <c r="D147" s="67" t="s">
        <v>2234</v>
      </c>
      <c r="E147" s="67" t="b">
        <v>0</v>
      </c>
      <c r="F147" s="67" t="b">
        <v>0</v>
      </c>
      <c r="G147" s="67" t="b">
        <v>0</v>
      </c>
    </row>
    <row r="148" spans="1:7" ht="15">
      <c r="A148" s="136" t="s">
        <v>1859</v>
      </c>
      <c r="B148" s="67">
        <v>2</v>
      </c>
      <c r="C148" s="139">
        <v>0.003930041909377731</v>
      </c>
      <c r="D148" s="67" t="s">
        <v>2234</v>
      </c>
      <c r="E148" s="67" t="b">
        <v>0</v>
      </c>
      <c r="F148" s="67" t="b">
        <v>0</v>
      </c>
      <c r="G148" s="67" t="b">
        <v>0</v>
      </c>
    </row>
    <row r="149" spans="1:7" ht="15">
      <c r="A149" s="136" t="s">
        <v>2140</v>
      </c>
      <c r="B149" s="67">
        <v>2</v>
      </c>
      <c r="C149" s="139">
        <v>0.003339787015918944</v>
      </c>
      <c r="D149" s="67" t="s">
        <v>2234</v>
      </c>
      <c r="E149" s="67" t="b">
        <v>0</v>
      </c>
      <c r="F149" s="67" t="b">
        <v>0</v>
      </c>
      <c r="G149" s="67" t="b">
        <v>0</v>
      </c>
    </row>
    <row r="150" spans="1:7" ht="15">
      <c r="A150" s="136" t="s">
        <v>1839</v>
      </c>
      <c r="B150" s="67">
        <v>2</v>
      </c>
      <c r="C150" s="139">
        <v>0.003339787015918944</v>
      </c>
      <c r="D150" s="67" t="s">
        <v>2234</v>
      </c>
      <c r="E150" s="67" t="b">
        <v>0</v>
      </c>
      <c r="F150" s="67" t="b">
        <v>0</v>
      </c>
      <c r="G150" s="67" t="b">
        <v>0</v>
      </c>
    </row>
    <row r="151" spans="1:7" ht="15">
      <c r="A151" s="136" t="s">
        <v>2141</v>
      </c>
      <c r="B151" s="67">
        <v>2</v>
      </c>
      <c r="C151" s="139">
        <v>0.003339787015918944</v>
      </c>
      <c r="D151" s="67" t="s">
        <v>2234</v>
      </c>
      <c r="E151" s="67" t="b">
        <v>0</v>
      </c>
      <c r="F151" s="67" t="b">
        <v>0</v>
      </c>
      <c r="G151" s="67" t="b">
        <v>0</v>
      </c>
    </row>
    <row r="152" spans="1:7" ht="15">
      <c r="A152" s="136" t="s">
        <v>1821</v>
      </c>
      <c r="B152" s="67">
        <v>2</v>
      </c>
      <c r="C152" s="139">
        <v>0.003339787015918944</v>
      </c>
      <c r="D152" s="67" t="s">
        <v>2234</v>
      </c>
      <c r="E152" s="67" t="b">
        <v>0</v>
      </c>
      <c r="F152" s="67" t="b">
        <v>0</v>
      </c>
      <c r="G152" s="67" t="b">
        <v>0</v>
      </c>
    </row>
    <row r="153" spans="1:7" ht="15">
      <c r="A153" s="136" t="s">
        <v>1848</v>
      </c>
      <c r="B153" s="67">
        <v>2</v>
      </c>
      <c r="C153" s="139">
        <v>0.003339787015918944</v>
      </c>
      <c r="D153" s="67" t="s">
        <v>2234</v>
      </c>
      <c r="E153" s="67" t="b">
        <v>0</v>
      </c>
      <c r="F153" s="67" t="b">
        <v>0</v>
      </c>
      <c r="G153" s="67" t="b">
        <v>0</v>
      </c>
    </row>
    <row r="154" spans="1:7" ht="15">
      <c r="A154" s="136" t="s">
        <v>2142</v>
      </c>
      <c r="B154" s="67">
        <v>2</v>
      </c>
      <c r="C154" s="139">
        <v>0.003339787015918944</v>
      </c>
      <c r="D154" s="67" t="s">
        <v>2234</v>
      </c>
      <c r="E154" s="67" t="b">
        <v>0</v>
      </c>
      <c r="F154" s="67" t="b">
        <v>0</v>
      </c>
      <c r="G154" s="67" t="b">
        <v>0</v>
      </c>
    </row>
    <row r="155" spans="1:7" ht="15">
      <c r="A155" s="136" t="s">
        <v>2143</v>
      </c>
      <c r="B155" s="67">
        <v>2</v>
      </c>
      <c r="C155" s="139">
        <v>0.003339787015918944</v>
      </c>
      <c r="D155" s="67" t="s">
        <v>2234</v>
      </c>
      <c r="E155" s="67" t="b">
        <v>0</v>
      </c>
      <c r="F155" s="67" t="b">
        <v>0</v>
      </c>
      <c r="G155" s="67" t="b">
        <v>0</v>
      </c>
    </row>
    <row r="156" spans="1:7" ht="15">
      <c r="A156" s="136" t="s">
        <v>942</v>
      </c>
      <c r="B156" s="67">
        <v>2</v>
      </c>
      <c r="C156" s="139">
        <v>0.003339787015918944</v>
      </c>
      <c r="D156" s="67" t="s">
        <v>2234</v>
      </c>
      <c r="E156" s="67" t="b">
        <v>0</v>
      </c>
      <c r="F156" s="67" t="b">
        <v>0</v>
      </c>
      <c r="G156" s="67" t="b">
        <v>0</v>
      </c>
    </row>
    <row r="157" spans="1:7" ht="15">
      <c r="A157" s="136" t="s">
        <v>2144</v>
      </c>
      <c r="B157" s="67">
        <v>2</v>
      </c>
      <c r="C157" s="139">
        <v>0.003339787015918944</v>
      </c>
      <c r="D157" s="67" t="s">
        <v>2234</v>
      </c>
      <c r="E157" s="67" t="b">
        <v>0</v>
      </c>
      <c r="F157" s="67" t="b">
        <v>0</v>
      </c>
      <c r="G157" s="67" t="b">
        <v>0</v>
      </c>
    </row>
    <row r="158" spans="1:7" ht="15">
      <c r="A158" s="136" t="s">
        <v>2145</v>
      </c>
      <c r="B158" s="67">
        <v>2</v>
      </c>
      <c r="C158" s="139">
        <v>0.003339787015918944</v>
      </c>
      <c r="D158" s="67" t="s">
        <v>2234</v>
      </c>
      <c r="E158" s="67" t="b">
        <v>0</v>
      </c>
      <c r="F158" s="67" t="b">
        <v>0</v>
      </c>
      <c r="G158" s="67" t="b">
        <v>0</v>
      </c>
    </row>
    <row r="159" spans="1:7" ht="15">
      <c r="A159" s="136" t="s">
        <v>2146</v>
      </c>
      <c r="B159" s="67">
        <v>2</v>
      </c>
      <c r="C159" s="139">
        <v>0.003339787015918944</v>
      </c>
      <c r="D159" s="67" t="s">
        <v>2234</v>
      </c>
      <c r="E159" s="67" t="b">
        <v>0</v>
      </c>
      <c r="F159" s="67" t="b">
        <v>0</v>
      </c>
      <c r="G159" s="67" t="b">
        <v>0</v>
      </c>
    </row>
    <row r="160" spans="1:7" ht="15">
      <c r="A160" s="136" t="s">
        <v>2147</v>
      </c>
      <c r="B160" s="67">
        <v>2</v>
      </c>
      <c r="C160" s="139">
        <v>0.003339787015918944</v>
      </c>
      <c r="D160" s="67" t="s">
        <v>2234</v>
      </c>
      <c r="E160" s="67" t="b">
        <v>0</v>
      </c>
      <c r="F160" s="67" t="b">
        <v>0</v>
      </c>
      <c r="G160" s="67" t="b">
        <v>0</v>
      </c>
    </row>
    <row r="161" spans="1:7" ht="15">
      <c r="A161" s="136" t="s">
        <v>2148</v>
      </c>
      <c r="B161" s="67">
        <v>2</v>
      </c>
      <c r="C161" s="139">
        <v>0.003339787015918944</v>
      </c>
      <c r="D161" s="67" t="s">
        <v>2234</v>
      </c>
      <c r="E161" s="67" t="b">
        <v>0</v>
      </c>
      <c r="F161" s="67" t="b">
        <v>0</v>
      </c>
      <c r="G161" s="67" t="b">
        <v>0</v>
      </c>
    </row>
    <row r="162" spans="1:7" ht="15">
      <c r="A162" s="136" t="s">
        <v>2149</v>
      </c>
      <c r="B162" s="67">
        <v>2</v>
      </c>
      <c r="C162" s="139">
        <v>0.003339787015918944</v>
      </c>
      <c r="D162" s="67" t="s">
        <v>2234</v>
      </c>
      <c r="E162" s="67" t="b">
        <v>0</v>
      </c>
      <c r="F162" s="67" t="b">
        <v>0</v>
      </c>
      <c r="G162" s="67" t="b">
        <v>0</v>
      </c>
    </row>
    <row r="163" spans="1:7" ht="15">
      <c r="A163" s="136" t="s">
        <v>2150</v>
      </c>
      <c r="B163" s="67">
        <v>2</v>
      </c>
      <c r="C163" s="139">
        <v>0.003339787015918944</v>
      </c>
      <c r="D163" s="67" t="s">
        <v>2234</v>
      </c>
      <c r="E163" s="67" t="b">
        <v>0</v>
      </c>
      <c r="F163" s="67" t="b">
        <v>0</v>
      </c>
      <c r="G163" s="67" t="b">
        <v>0</v>
      </c>
    </row>
    <row r="164" spans="1:7" ht="15">
      <c r="A164" s="136" t="s">
        <v>2151</v>
      </c>
      <c r="B164" s="67">
        <v>2</v>
      </c>
      <c r="C164" s="139">
        <v>0.003339787015918944</v>
      </c>
      <c r="D164" s="67" t="s">
        <v>2234</v>
      </c>
      <c r="E164" s="67" t="b">
        <v>0</v>
      </c>
      <c r="F164" s="67" t="b">
        <v>0</v>
      </c>
      <c r="G164" s="67" t="b">
        <v>0</v>
      </c>
    </row>
    <row r="165" spans="1:7" ht="15">
      <c r="A165" s="136" t="s">
        <v>2152</v>
      </c>
      <c r="B165" s="67">
        <v>2</v>
      </c>
      <c r="C165" s="139">
        <v>0.003339787015918944</v>
      </c>
      <c r="D165" s="67" t="s">
        <v>2234</v>
      </c>
      <c r="E165" s="67" t="b">
        <v>0</v>
      </c>
      <c r="F165" s="67" t="b">
        <v>0</v>
      </c>
      <c r="G165" s="67" t="b">
        <v>0</v>
      </c>
    </row>
    <row r="166" spans="1:7" ht="15">
      <c r="A166" s="136" t="s">
        <v>2153</v>
      </c>
      <c r="B166" s="67">
        <v>2</v>
      </c>
      <c r="C166" s="139">
        <v>0.003339787015918944</v>
      </c>
      <c r="D166" s="67" t="s">
        <v>2234</v>
      </c>
      <c r="E166" s="67" t="b">
        <v>0</v>
      </c>
      <c r="F166" s="67" t="b">
        <v>0</v>
      </c>
      <c r="G166" s="67" t="b">
        <v>0</v>
      </c>
    </row>
    <row r="167" spans="1:7" ht="15">
      <c r="A167" s="136" t="s">
        <v>1837</v>
      </c>
      <c r="B167" s="67">
        <v>2</v>
      </c>
      <c r="C167" s="139">
        <v>0.003339787015918944</v>
      </c>
      <c r="D167" s="67" t="s">
        <v>2234</v>
      </c>
      <c r="E167" s="67" t="b">
        <v>0</v>
      </c>
      <c r="F167" s="67" t="b">
        <v>0</v>
      </c>
      <c r="G167" s="67" t="b">
        <v>0</v>
      </c>
    </row>
    <row r="168" spans="1:7" ht="15">
      <c r="A168" s="136" t="s">
        <v>946</v>
      </c>
      <c r="B168" s="67">
        <v>2</v>
      </c>
      <c r="C168" s="139">
        <v>0.003339787015918944</v>
      </c>
      <c r="D168" s="67" t="s">
        <v>2234</v>
      </c>
      <c r="E168" s="67" t="b">
        <v>0</v>
      </c>
      <c r="F168" s="67" t="b">
        <v>0</v>
      </c>
      <c r="G168" s="67" t="b">
        <v>0</v>
      </c>
    </row>
    <row r="169" spans="1:7" ht="15">
      <c r="A169" s="136" t="s">
        <v>2154</v>
      </c>
      <c r="B169" s="67">
        <v>2</v>
      </c>
      <c r="C169" s="139">
        <v>0.003339787015918944</v>
      </c>
      <c r="D169" s="67" t="s">
        <v>2234</v>
      </c>
      <c r="E169" s="67" t="b">
        <v>0</v>
      </c>
      <c r="F169" s="67" t="b">
        <v>0</v>
      </c>
      <c r="G169" s="67" t="b">
        <v>0</v>
      </c>
    </row>
    <row r="170" spans="1:7" ht="15">
      <c r="A170" s="136" t="s">
        <v>2155</v>
      </c>
      <c r="B170" s="67">
        <v>2</v>
      </c>
      <c r="C170" s="139">
        <v>0.003339787015918944</v>
      </c>
      <c r="D170" s="67" t="s">
        <v>2234</v>
      </c>
      <c r="E170" s="67" t="b">
        <v>0</v>
      </c>
      <c r="F170" s="67" t="b">
        <v>0</v>
      </c>
      <c r="G170" s="67" t="b">
        <v>0</v>
      </c>
    </row>
    <row r="171" spans="1:7" ht="15">
      <c r="A171" s="136" t="s">
        <v>2156</v>
      </c>
      <c r="B171" s="67">
        <v>2</v>
      </c>
      <c r="C171" s="139">
        <v>0.003930041909377731</v>
      </c>
      <c r="D171" s="67" t="s">
        <v>2234</v>
      </c>
      <c r="E171" s="67" t="b">
        <v>0</v>
      </c>
      <c r="F171" s="67" t="b">
        <v>0</v>
      </c>
      <c r="G171" s="67" t="b">
        <v>0</v>
      </c>
    </row>
    <row r="172" spans="1:7" ht="15">
      <c r="A172" s="136" t="s">
        <v>2157</v>
      </c>
      <c r="B172" s="67">
        <v>2</v>
      </c>
      <c r="C172" s="139">
        <v>0.003339787015918944</v>
      </c>
      <c r="D172" s="67" t="s">
        <v>2234</v>
      </c>
      <c r="E172" s="67" t="b">
        <v>0</v>
      </c>
      <c r="F172" s="67" t="b">
        <v>0</v>
      </c>
      <c r="G172" s="67" t="b">
        <v>0</v>
      </c>
    </row>
    <row r="173" spans="1:7" ht="15">
      <c r="A173" s="136" t="s">
        <v>2158</v>
      </c>
      <c r="B173" s="67">
        <v>2</v>
      </c>
      <c r="C173" s="139">
        <v>0.003339787015918944</v>
      </c>
      <c r="D173" s="67" t="s">
        <v>2234</v>
      </c>
      <c r="E173" s="67" t="b">
        <v>0</v>
      </c>
      <c r="F173" s="67" t="b">
        <v>0</v>
      </c>
      <c r="G173" s="67" t="b">
        <v>0</v>
      </c>
    </row>
    <row r="174" spans="1:7" ht="15">
      <c r="A174" s="136" t="s">
        <v>2159</v>
      </c>
      <c r="B174" s="67">
        <v>2</v>
      </c>
      <c r="C174" s="139">
        <v>0.003339787015918944</v>
      </c>
      <c r="D174" s="67" t="s">
        <v>2234</v>
      </c>
      <c r="E174" s="67" t="b">
        <v>0</v>
      </c>
      <c r="F174" s="67" t="b">
        <v>0</v>
      </c>
      <c r="G174" s="67" t="b">
        <v>0</v>
      </c>
    </row>
    <row r="175" spans="1:7" ht="15">
      <c r="A175" s="136" t="s">
        <v>2160</v>
      </c>
      <c r="B175" s="67">
        <v>2</v>
      </c>
      <c r="C175" s="139">
        <v>0.003339787015918944</v>
      </c>
      <c r="D175" s="67" t="s">
        <v>2234</v>
      </c>
      <c r="E175" s="67" t="b">
        <v>0</v>
      </c>
      <c r="F175" s="67" t="b">
        <v>0</v>
      </c>
      <c r="G175" s="67" t="b">
        <v>0</v>
      </c>
    </row>
    <row r="176" spans="1:7" ht="15">
      <c r="A176" s="136" t="s">
        <v>2161</v>
      </c>
      <c r="B176" s="67">
        <v>2</v>
      </c>
      <c r="C176" s="139">
        <v>0.003339787015918944</v>
      </c>
      <c r="D176" s="67" t="s">
        <v>2234</v>
      </c>
      <c r="E176" s="67" t="b">
        <v>0</v>
      </c>
      <c r="F176" s="67" t="b">
        <v>0</v>
      </c>
      <c r="G176" s="67" t="b">
        <v>0</v>
      </c>
    </row>
    <row r="177" spans="1:7" ht="15">
      <c r="A177" s="136" t="s">
        <v>2162</v>
      </c>
      <c r="B177" s="67">
        <v>2</v>
      </c>
      <c r="C177" s="139">
        <v>0.003339787015918944</v>
      </c>
      <c r="D177" s="67" t="s">
        <v>2234</v>
      </c>
      <c r="E177" s="67" t="b">
        <v>0</v>
      </c>
      <c r="F177" s="67" t="b">
        <v>0</v>
      </c>
      <c r="G177" s="67" t="b">
        <v>0</v>
      </c>
    </row>
    <row r="178" spans="1:7" ht="15">
      <c r="A178" s="136" t="s">
        <v>2163</v>
      </c>
      <c r="B178" s="67">
        <v>2</v>
      </c>
      <c r="C178" s="139">
        <v>0.003339787015918944</v>
      </c>
      <c r="D178" s="67" t="s">
        <v>2234</v>
      </c>
      <c r="E178" s="67" t="b">
        <v>0</v>
      </c>
      <c r="F178" s="67" t="b">
        <v>0</v>
      </c>
      <c r="G178" s="67" t="b">
        <v>0</v>
      </c>
    </row>
    <row r="179" spans="1:7" ht="15">
      <c r="A179" s="136" t="s">
        <v>2164</v>
      </c>
      <c r="B179" s="67">
        <v>2</v>
      </c>
      <c r="C179" s="139">
        <v>0.003339787015918944</v>
      </c>
      <c r="D179" s="67" t="s">
        <v>2234</v>
      </c>
      <c r="E179" s="67" t="b">
        <v>0</v>
      </c>
      <c r="F179" s="67" t="b">
        <v>0</v>
      </c>
      <c r="G179" s="67" t="b">
        <v>0</v>
      </c>
    </row>
    <row r="180" spans="1:7" ht="15">
      <c r="A180" s="136" t="s">
        <v>2165</v>
      </c>
      <c r="B180" s="67">
        <v>2</v>
      </c>
      <c r="C180" s="139">
        <v>0.003339787015918944</v>
      </c>
      <c r="D180" s="67" t="s">
        <v>2234</v>
      </c>
      <c r="E180" s="67" t="b">
        <v>0</v>
      </c>
      <c r="F180" s="67" t="b">
        <v>0</v>
      </c>
      <c r="G180" s="67" t="b">
        <v>0</v>
      </c>
    </row>
    <row r="181" spans="1:7" ht="15">
      <c r="A181" s="136" t="s">
        <v>308</v>
      </c>
      <c r="B181" s="67">
        <v>2</v>
      </c>
      <c r="C181" s="139">
        <v>0.003339787015918944</v>
      </c>
      <c r="D181" s="67" t="s">
        <v>2234</v>
      </c>
      <c r="E181" s="67" t="b">
        <v>0</v>
      </c>
      <c r="F181" s="67" t="b">
        <v>0</v>
      </c>
      <c r="G181" s="67" t="b">
        <v>0</v>
      </c>
    </row>
    <row r="182" spans="1:7" ht="15">
      <c r="A182" s="136" t="s">
        <v>1831</v>
      </c>
      <c r="B182" s="67">
        <v>2</v>
      </c>
      <c r="C182" s="139">
        <v>0.003339787015918944</v>
      </c>
      <c r="D182" s="67" t="s">
        <v>2234</v>
      </c>
      <c r="E182" s="67" t="b">
        <v>0</v>
      </c>
      <c r="F182" s="67" t="b">
        <v>0</v>
      </c>
      <c r="G182" s="67" t="b">
        <v>0</v>
      </c>
    </row>
    <row r="183" spans="1:7" ht="15">
      <c r="A183" s="136" t="s">
        <v>2166</v>
      </c>
      <c r="B183" s="67">
        <v>2</v>
      </c>
      <c r="C183" s="139">
        <v>0.003339787015918944</v>
      </c>
      <c r="D183" s="67" t="s">
        <v>2234</v>
      </c>
      <c r="E183" s="67" t="b">
        <v>0</v>
      </c>
      <c r="F183" s="67" t="b">
        <v>0</v>
      </c>
      <c r="G183" s="67" t="b">
        <v>0</v>
      </c>
    </row>
    <row r="184" spans="1:7" ht="15">
      <c r="A184" s="136" t="s">
        <v>2167</v>
      </c>
      <c r="B184" s="67">
        <v>2</v>
      </c>
      <c r="C184" s="139">
        <v>0.003339787015918944</v>
      </c>
      <c r="D184" s="67" t="s">
        <v>2234</v>
      </c>
      <c r="E184" s="67" t="b">
        <v>0</v>
      </c>
      <c r="F184" s="67" t="b">
        <v>0</v>
      </c>
      <c r="G184" s="67" t="b">
        <v>0</v>
      </c>
    </row>
    <row r="185" spans="1:7" ht="15">
      <c r="A185" s="136" t="s">
        <v>940</v>
      </c>
      <c r="B185" s="67">
        <v>2</v>
      </c>
      <c r="C185" s="139">
        <v>0.003339787015918944</v>
      </c>
      <c r="D185" s="67" t="s">
        <v>2234</v>
      </c>
      <c r="E185" s="67" t="b">
        <v>0</v>
      </c>
      <c r="F185" s="67" t="b">
        <v>0</v>
      </c>
      <c r="G185" s="67" t="b">
        <v>0</v>
      </c>
    </row>
    <row r="186" spans="1:7" ht="15">
      <c r="A186" s="136" t="s">
        <v>2168</v>
      </c>
      <c r="B186" s="67">
        <v>2</v>
      </c>
      <c r="C186" s="139">
        <v>0.003339787015918944</v>
      </c>
      <c r="D186" s="67" t="s">
        <v>2234</v>
      </c>
      <c r="E186" s="67" t="b">
        <v>0</v>
      </c>
      <c r="F186" s="67" t="b">
        <v>0</v>
      </c>
      <c r="G186" s="67" t="b">
        <v>0</v>
      </c>
    </row>
    <row r="187" spans="1:7" ht="15">
      <c r="A187" s="136" t="s">
        <v>1841</v>
      </c>
      <c r="B187" s="67">
        <v>2</v>
      </c>
      <c r="C187" s="139">
        <v>0.003339787015918944</v>
      </c>
      <c r="D187" s="67" t="s">
        <v>2234</v>
      </c>
      <c r="E187" s="67" t="b">
        <v>0</v>
      </c>
      <c r="F187" s="67" t="b">
        <v>0</v>
      </c>
      <c r="G187" s="67" t="b">
        <v>0</v>
      </c>
    </row>
    <row r="188" spans="1:7" ht="15">
      <c r="A188" s="136" t="s">
        <v>2169</v>
      </c>
      <c r="B188" s="67">
        <v>2</v>
      </c>
      <c r="C188" s="139">
        <v>0.003339787015918944</v>
      </c>
      <c r="D188" s="67" t="s">
        <v>2234</v>
      </c>
      <c r="E188" s="67" t="b">
        <v>0</v>
      </c>
      <c r="F188" s="67" t="b">
        <v>0</v>
      </c>
      <c r="G188" s="67" t="b">
        <v>0</v>
      </c>
    </row>
    <row r="189" spans="1:7" ht="15">
      <c r="A189" s="136" t="s">
        <v>2170</v>
      </c>
      <c r="B189" s="67">
        <v>2</v>
      </c>
      <c r="C189" s="139">
        <v>0.003339787015918944</v>
      </c>
      <c r="D189" s="67" t="s">
        <v>2234</v>
      </c>
      <c r="E189" s="67" t="b">
        <v>0</v>
      </c>
      <c r="F189" s="67" t="b">
        <v>0</v>
      </c>
      <c r="G189" s="67" t="b">
        <v>0</v>
      </c>
    </row>
    <row r="190" spans="1:7" ht="15">
      <c r="A190" s="136" t="s">
        <v>2171</v>
      </c>
      <c r="B190" s="67">
        <v>2</v>
      </c>
      <c r="C190" s="139">
        <v>0.003339787015918944</v>
      </c>
      <c r="D190" s="67" t="s">
        <v>2234</v>
      </c>
      <c r="E190" s="67" t="b">
        <v>0</v>
      </c>
      <c r="F190" s="67" t="b">
        <v>0</v>
      </c>
      <c r="G190" s="67" t="b">
        <v>0</v>
      </c>
    </row>
    <row r="191" spans="1:7" ht="15">
      <c r="A191" s="136" t="s">
        <v>1828</v>
      </c>
      <c r="B191" s="67">
        <v>2</v>
      </c>
      <c r="C191" s="139">
        <v>0.003339787015918944</v>
      </c>
      <c r="D191" s="67" t="s">
        <v>2234</v>
      </c>
      <c r="E191" s="67" t="b">
        <v>0</v>
      </c>
      <c r="F191" s="67" t="b">
        <v>0</v>
      </c>
      <c r="G191" s="67" t="b">
        <v>0</v>
      </c>
    </row>
    <row r="192" spans="1:7" ht="15">
      <c r="A192" s="136" t="s">
        <v>2172</v>
      </c>
      <c r="B192" s="67">
        <v>2</v>
      </c>
      <c r="C192" s="139">
        <v>0.003339787015918944</v>
      </c>
      <c r="D192" s="67" t="s">
        <v>2234</v>
      </c>
      <c r="E192" s="67" t="b">
        <v>0</v>
      </c>
      <c r="F192" s="67" t="b">
        <v>0</v>
      </c>
      <c r="G192" s="67" t="b">
        <v>0</v>
      </c>
    </row>
    <row r="193" spans="1:7" ht="15">
      <c r="A193" s="136" t="s">
        <v>2173</v>
      </c>
      <c r="B193" s="67">
        <v>2</v>
      </c>
      <c r="C193" s="139">
        <v>0.003339787015918944</v>
      </c>
      <c r="D193" s="67" t="s">
        <v>2234</v>
      </c>
      <c r="E193" s="67" t="b">
        <v>0</v>
      </c>
      <c r="F193" s="67" t="b">
        <v>0</v>
      </c>
      <c r="G193" s="67" t="b">
        <v>0</v>
      </c>
    </row>
    <row r="194" spans="1:7" ht="15">
      <c r="A194" s="136" t="s">
        <v>2174</v>
      </c>
      <c r="B194" s="67">
        <v>2</v>
      </c>
      <c r="C194" s="139">
        <v>0.003339787015918944</v>
      </c>
      <c r="D194" s="67" t="s">
        <v>2234</v>
      </c>
      <c r="E194" s="67" t="b">
        <v>0</v>
      </c>
      <c r="F194" s="67" t="b">
        <v>0</v>
      </c>
      <c r="G194" s="67" t="b">
        <v>0</v>
      </c>
    </row>
    <row r="195" spans="1:7" ht="15">
      <c r="A195" s="136" t="s">
        <v>2175</v>
      </c>
      <c r="B195" s="67">
        <v>2</v>
      </c>
      <c r="C195" s="139">
        <v>0.003339787015918944</v>
      </c>
      <c r="D195" s="67" t="s">
        <v>2234</v>
      </c>
      <c r="E195" s="67" t="b">
        <v>0</v>
      </c>
      <c r="F195" s="67" t="b">
        <v>0</v>
      </c>
      <c r="G195" s="67" t="b">
        <v>0</v>
      </c>
    </row>
    <row r="196" spans="1:7" ht="15">
      <c r="A196" s="136" t="s">
        <v>317</v>
      </c>
      <c r="B196" s="67">
        <v>2</v>
      </c>
      <c r="C196" s="139">
        <v>0.003339787015918944</v>
      </c>
      <c r="D196" s="67" t="s">
        <v>2234</v>
      </c>
      <c r="E196" s="67" t="b">
        <v>0</v>
      </c>
      <c r="F196" s="67" t="b">
        <v>0</v>
      </c>
      <c r="G196" s="67" t="b">
        <v>0</v>
      </c>
    </row>
    <row r="197" spans="1:7" ht="15">
      <c r="A197" s="136" t="s">
        <v>2176</v>
      </c>
      <c r="B197" s="67">
        <v>2</v>
      </c>
      <c r="C197" s="139">
        <v>0.003339787015918944</v>
      </c>
      <c r="D197" s="67" t="s">
        <v>2234</v>
      </c>
      <c r="E197" s="67" t="b">
        <v>0</v>
      </c>
      <c r="F197" s="67" t="b">
        <v>0</v>
      </c>
      <c r="G197" s="67" t="b">
        <v>0</v>
      </c>
    </row>
    <row r="198" spans="1:7" ht="15">
      <c r="A198" s="136" t="s">
        <v>2177</v>
      </c>
      <c r="B198" s="67">
        <v>2</v>
      </c>
      <c r="C198" s="139">
        <v>0.003339787015918944</v>
      </c>
      <c r="D198" s="67" t="s">
        <v>2234</v>
      </c>
      <c r="E198" s="67" t="b">
        <v>0</v>
      </c>
      <c r="F198" s="67" t="b">
        <v>0</v>
      </c>
      <c r="G198" s="67" t="b">
        <v>0</v>
      </c>
    </row>
    <row r="199" spans="1:7" ht="15">
      <c r="A199" s="136" t="s">
        <v>2178</v>
      </c>
      <c r="B199" s="67">
        <v>2</v>
      </c>
      <c r="C199" s="139">
        <v>0.003339787015918944</v>
      </c>
      <c r="D199" s="67" t="s">
        <v>2234</v>
      </c>
      <c r="E199" s="67" t="b">
        <v>0</v>
      </c>
      <c r="F199" s="67" t="b">
        <v>0</v>
      </c>
      <c r="G199" s="67" t="b">
        <v>0</v>
      </c>
    </row>
    <row r="200" spans="1:7" ht="15">
      <c r="A200" s="136" t="s">
        <v>2179</v>
      </c>
      <c r="B200" s="67">
        <v>2</v>
      </c>
      <c r="C200" s="139">
        <v>0.003339787015918944</v>
      </c>
      <c r="D200" s="67" t="s">
        <v>2234</v>
      </c>
      <c r="E200" s="67" t="b">
        <v>0</v>
      </c>
      <c r="F200" s="67" t="b">
        <v>0</v>
      </c>
      <c r="G200" s="67" t="b">
        <v>0</v>
      </c>
    </row>
    <row r="201" spans="1:7" ht="15">
      <c r="A201" s="136" t="s">
        <v>2180</v>
      </c>
      <c r="B201" s="67">
        <v>2</v>
      </c>
      <c r="C201" s="139">
        <v>0.003339787015918944</v>
      </c>
      <c r="D201" s="67" t="s">
        <v>2234</v>
      </c>
      <c r="E201" s="67" t="b">
        <v>0</v>
      </c>
      <c r="F201" s="67" t="b">
        <v>0</v>
      </c>
      <c r="G201" s="67" t="b">
        <v>0</v>
      </c>
    </row>
    <row r="202" spans="1:7" ht="15">
      <c r="A202" s="136" t="s">
        <v>2181</v>
      </c>
      <c r="B202" s="67">
        <v>2</v>
      </c>
      <c r="C202" s="139">
        <v>0.003339787015918944</v>
      </c>
      <c r="D202" s="67" t="s">
        <v>2234</v>
      </c>
      <c r="E202" s="67" t="b">
        <v>0</v>
      </c>
      <c r="F202" s="67" t="b">
        <v>0</v>
      </c>
      <c r="G202" s="67" t="b">
        <v>0</v>
      </c>
    </row>
    <row r="203" spans="1:7" ht="15">
      <c r="A203" s="136" t="s">
        <v>2182</v>
      </c>
      <c r="B203" s="67">
        <v>2</v>
      </c>
      <c r="C203" s="139">
        <v>0.003339787015918944</v>
      </c>
      <c r="D203" s="67" t="s">
        <v>2234</v>
      </c>
      <c r="E203" s="67" t="b">
        <v>0</v>
      </c>
      <c r="F203" s="67" t="b">
        <v>0</v>
      </c>
      <c r="G203" s="67" t="b">
        <v>0</v>
      </c>
    </row>
    <row r="204" spans="1:7" ht="15">
      <c r="A204" s="136" t="s">
        <v>941</v>
      </c>
      <c r="B204" s="67">
        <v>2</v>
      </c>
      <c r="C204" s="139">
        <v>0.003339787015918944</v>
      </c>
      <c r="D204" s="67" t="s">
        <v>2234</v>
      </c>
      <c r="E204" s="67" t="b">
        <v>0</v>
      </c>
      <c r="F204" s="67" t="b">
        <v>0</v>
      </c>
      <c r="G204" s="67" t="b">
        <v>0</v>
      </c>
    </row>
    <row r="205" spans="1:7" ht="15">
      <c r="A205" s="136" t="s">
        <v>2183</v>
      </c>
      <c r="B205" s="67">
        <v>2</v>
      </c>
      <c r="C205" s="139">
        <v>0.003339787015918944</v>
      </c>
      <c r="D205" s="67" t="s">
        <v>2234</v>
      </c>
      <c r="E205" s="67" t="b">
        <v>0</v>
      </c>
      <c r="F205" s="67" t="b">
        <v>0</v>
      </c>
      <c r="G205" s="67" t="b">
        <v>0</v>
      </c>
    </row>
    <row r="206" spans="1:7" ht="15">
      <c r="A206" s="136" t="s">
        <v>2184</v>
      </c>
      <c r="B206" s="67">
        <v>2</v>
      </c>
      <c r="C206" s="139">
        <v>0.003339787015918944</v>
      </c>
      <c r="D206" s="67" t="s">
        <v>2234</v>
      </c>
      <c r="E206" s="67" t="b">
        <v>0</v>
      </c>
      <c r="F206" s="67" t="b">
        <v>0</v>
      </c>
      <c r="G206" s="67" t="b">
        <v>0</v>
      </c>
    </row>
    <row r="207" spans="1:7" ht="15">
      <c r="A207" s="136" t="s">
        <v>2185</v>
      </c>
      <c r="B207" s="67">
        <v>2</v>
      </c>
      <c r="C207" s="139">
        <v>0.003339787015918944</v>
      </c>
      <c r="D207" s="67" t="s">
        <v>2234</v>
      </c>
      <c r="E207" s="67" t="b">
        <v>0</v>
      </c>
      <c r="F207" s="67" t="b">
        <v>0</v>
      </c>
      <c r="G207" s="67" t="b">
        <v>0</v>
      </c>
    </row>
    <row r="208" spans="1:7" ht="15">
      <c r="A208" s="136" t="s">
        <v>2186</v>
      </c>
      <c r="B208" s="67">
        <v>2</v>
      </c>
      <c r="C208" s="139">
        <v>0.003339787015918944</v>
      </c>
      <c r="D208" s="67" t="s">
        <v>2234</v>
      </c>
      <c r="E208" s="67" t="b">
        <v>0</v>
      </c>
      <c r="F208" s="67" t="b">
        <v>0</v>
      </c>
      <c r="G208" s="67" t="b">
        <v>0</v>
      </c>
    </row>
    <row r="209" spans="1:7" ht="15">
      <c r="A209" s="136" t="s">
        <v>957</v>
      </c>
      <c r="B209" s="67">
        <v>2</v>
      </c>
      <c r="C209" s="139">
        <v>0.003339787015918944</v>
      </c>
      <c r="D209" s="67" t="s">
        <v>2234</v>
      </c>
      <c r="E209" s="67" t="b">
        <v>0</v>
      </c>
      <c r="F209" s="67" t="b">
        <v>0</v>
      </c>
      <c r="G209" s="67" t="b">
        <v>0</v>
      </c>
    </row>
    <row r="210" spans="1:7" ht="15">
      <c r="A210" s="136" t="s">
        <v>2187</v>
      </c>
      <c r="B210" s="67">
        <v>2</v>
      </c>
      <c r="C210" s="139">
        <v>0.003339787015918944</v>
      </c>
      <c r="D210" s="67" t="s">
        <v>2234</v>
      </c>
      <c r="E210" s="67" t="b">
        <v>0</v>
      </c>
      <c r="F210" s="67" t="b">
        <v>0</v>
      </c>
      <c r="G210" s="67" t="b">
        <v>0</v>
      </c>
    </row>
    <row r="211" spans="1:7" ht="15">
      <c r="A211" s="136" t="s">
        <v>2188</v>
      </c>
      <c r="B211" s="67">
        <v>2</v>
      </c>
      <c r="C211" s="139">
        <v>0.003339787015918944</v>
      </c>
      <c r="D211" s="67" t="s">
        <v>2234</v>
      </c>
      <c r="E211" s="67" t="b">
        <v>0</v>
      </c>
      <c r="F211" s="67" t="b">
        <v>0</v>
      </c>
      <c r="G211" s="67" t="b">
        <v>0</v>
      </c>
    </row>
    <row r="212" spans="1:7" ht="15">
      <c r="A212" s="136" t="s">
        <v>2189</v>
      </c>
      <c r="B212" s="67">
        <v>2</v>
      </c>
      <c r="C212" s="139">
        <v>0.003339787015918944</v>
      </c>
      <c r="D212" s="67" t="s">
        <v>2234</v>
      </c>
      <c r="E212" s="67" t="b">
        <v>0</v>
      </c>
      <c r="F212" s="67" t="b">
        <v>0</v>
      </c>
      <c r="G212" s="67" t="b">
        <v>0</v>
      </c>
    </row>
    <row r="213" spans="1:7" ht="15">
      <c r="A213" s="136" t="s">
        <v>2190</v>
      </c>
      <c r="B213" s="67">
        <v>2</v>
      </c>
      <c r="C213" s="139">
        <v>0.003339787015918944</v>
      </c>
      <c r="D213" s="67" t="s">
        <v>2234</v>
      </c>
      <c r="E213" s="67" t="b">
        <v>0</v>
      </c>
      <c r="F213" s="67" t="b">
        <v>0</v>
      </c>
      <c r="G213" s="67" t="b">
        <v>0</v>
      </c>
    </row>
    <row r="214" spans="1:7" ht="15">
      <c r="A214" s="136" t="s">
        <v>2191</v>
      </c>
      <c r="B214" s="67">
        <v>2</v>
      </c>
      <c r="C214" s="139">
        <v>0.003339787015918944</v>
      </c>
      <c r="D214" s="67" t="s">
        <v>2234</v>
      </c>
      <c r="E214" s="67" t="b">
        <v>0</v>
      </c>
      <c r="F214" s="67" t="b">
        <v>0</v>
      </c>
      <c r="G214" s="67" t="b">
        <v>0</v>
      </c>
    </row>
    <row r="215" spans="1:7" ht="15">
      <c r="A215" s="136" t="s">
        <v>2192</v>
      </c>
      <c r="B215" s="67">
        <v>2</v>
      </c>
      <c r="C215" s="139">
        <v>0.003339787015918944</v>
      </c>
      <c r="D215" s="67" t="s">
        <v>2234</v>
      </c>
      <c r="E215" s="67" t="b">
        <v>0</v>
      </c>
      <c r="F215" s="67" t="b">
        <v>0</v>
      </c>
      <c r="G215" s="67" t="b">
        <v>0</v>
      </c>
    </row>
    <row r="216" spans="1:7" ht="15">
      <c r="A216" s="136" t="s">
        <v>2193</v>
      </c>
      <c r="B216" s="67">
        <v>2</v>
      </c>
      <c r="C216" s="139">
        <v>0.003339787015918944</v>
      </c>
      <c r="D216" s="67" t="s">
        <v>2234</v>
      </c>
      <c r="E216" s="67" t="b">
        <v>0</v>
      </c>
      <c r="F216" s="67" t="b">
        <v>0</v>
      </c>
      <c r="G216" s="67" t="b">
        <v>0</v>
      </c>
    </row>
    <row r="217" spans="1:7" ht="15">
      <c r="A217" s="136" t="s">
        <v>922</v>
      </c>
      <c r="B217" s="67">
        <v>2</v>
      </c>
      <c r="C217" s="139">
        <v>0.003339787015918944</v>
      </c>
      <c r="D217" s="67" t="s">
        <v>2234</v>
      </c>
      <c r="E217" s="67" t="b">
        <v>0</v>
      </c>
      <c r="F217" s="67" t="b">
        <v>0</v>
      </c>
      <c r="G217" s="67" t="b">
        <v>0</v>
      </c>
    </row>
    <row r="218" spans="1:7" ht="15">
      <c r="A218" s="136" t="s">
        <v>2194</v>
      </c>
      <c r="B218" s="67">
        <v>2</v>
      </c>
      <c r="C218" s="139">
        <v>0.003339787015918944</v>
      </c>
      <c r="D218" s="67" t="s">
        <v>2234</v>
      </c>
      <c r="E218" s="67" t="b">
        <v>0</v>
      </c>
      <c r="F218" s="67" t="b">
        <v>0</v>
      </c>
      <c r="G218" s="67" t="b">
        <v>0</v>
      </c>
    </row>
    <row r="219" spans="1:7" ht="15">
      <c r="A219" s="136" t="s">
        <v>2195</v>
      </c>
      <c r="B219" s="67">
        <v>2</v>
      </c>
      <c r="C219" s="139">
        <v>0.003339787015918944</v>
      </c>
      <c r="D219" s="67" t="s">
        <v>2234</v>
      </c>
      <c r="E219" s="67" t="b">
        <v>0</v>
      </c>
      <c r="F219" s="67" t="b">
        <v>0</v>
      </c>
      <c r="G219" s="67" t="b">
        <v>0</v>
      </c>
    </row>
    <row r="220" spans="1:7" ht="15">
      <c r="A220" s="136" t="s">
        <v>2196</v>
      </c>
      <c r="B220" s="67">
        <v>2</v>
      </c>
      <c r="C220" s="139">
        <v>0.003339787015918944</v>
      </c>
      <c r="D220" s="67" t="s">
        <v>2234</v>
      </c>
      <c r="E220" s="67" t="b">
        <v>0</v>
      </c>
      <c r="F220" s="67" t="b">
        <v>0</v>
      </c>
      <c r="G220" s="67" t="b">
        <v>0</v>
      </c>
    </row>
    <row r="221" spans="1:7" ht="15">
      <c r="A221" s="136" t="s">
        <v>2197</v>
      </c>
      <c r="B221" s="67">
        <v>2</v>
      </c>
      <c r="C221" s="139">
        <v>0.003339787015918944</v>
      </c>
      <c r="D221" s="67" t="s">
        <v>2234</v>
      </c>
      <c r="E221" s="67" t="b">
        <v>0</v>
      </c>
      <c r="F221" s="67" t="b">
        <v>0</v>
      </c>
      <c r="G221" s="67" t="b">
        <v>0</v>
      </c>
    </row>
    <row r="222" spans="1:7" ht="15">
      <c r="A222" s="136" t="s">
        <v>2198</v>
      </c>
      <c r="B222" s="67">
        <v>2</v>
      </c>
      <c r="C222" s="139">
        <v>0.003339787015918944</v>
      </c>
      <c r="D222" s="67" t="s">
        <v>2234</v>
      </c>
      <c r="E222" s="67" t="b">
        <v>0</v>
      </c>
      <c r="F222" s="67" t="b">
        <v>0</v>
      </c>
      <c r="G222" s="67" t="b">
        <v>0</v>
      </c>
    </row>
    <row r="223" spans="1:7" ht="15">
      <c r="A223" s="136" t="s">
        <v>2199</v>
      </c>
      <c r="B223" s="67">
        <v>2</v>
      </c>
      <c r="C223" s="139">
        <v>0.003339787015918944</v>
      </c>
      <c r="D223" s="67" t="s">
        <v>2234</v>
      </c>
      <c r="E223" s="67" t="b">
        <v>0</v>
      </c>
      <c r="F223" s="67" t="b">
        <v>0</v>
      </c>
      <c r="G223" s="67" t="b">
        <v>0</v>
      </c>
    </row>
    <row r="224" spans="1:7" ht="15">
      <c r="A224" s="136" t="s">
        <v>2200</v>
      </c>
      <c r="B224" s="67">
        <v>2</v>
      </c>
      <c r="C224" s="139">
        <v>0.003339787015918944</v>
      </c>
      <c r="D224" s="67" t="s">
        <v>2234</v>
      </c>
      <c r="E224" s="67" t="b">
        <v>0</v>
      </c>
      <c r="F224" s="67" t="b">
        <v>0</v>
      </c>
      <c r="G224" s="67" t="b">
        <v>0</v>
      </c>
    </row>
    <row r="225" spans="1:7" ht="15">
      <c r="A225" s="136" t="s">
        <v>1842</v>
      </c>
      <c r="B225" s="67">
        <v>2</v>
      </c>
      <c r="C225" s="139">
        <v>0.003339787015918944</v>
      </c>
      <c r="D225" s="67" t="s">
        <v>2234</v>
      </c>
      <c r="E225" s="67" t="b">
        <v>0</v>
      </c>
      <c r="F225" s="67" t="b">
        <v>0</v>
      </c>
      <c r="G225" s="67" t="b">
        <v>0</v>
      </c>
    </row>
    <row r="226" spans="1:7" ht="15">
      <c r="A226" s="136" t="s">
        <v>2201</v>
      </c>
      <c r="B226" s="67">
        <v>2</v>
      </c>
      <c r="C226" s="139">
        <v>0.003339787015918944</v>
      </c>
      <c r="D226" s="67" t="s">
        <v>2234</v>
      </c>
      <c r="E226" s="67" t="b">
        <v>0</v>
      </c>
      <c r="F226" s="67" t="b">
        <v>0</v>
      </c>
      <c r="G226" s="67" t="b">
        <v>0</v>
      </c>
    </row>
    <row r="227" spans="1:7" ht="15">
      <c r="A227" s="136" t="s">
        <v>2202</v>
      </c>
      <c r="B227" s="67">
        <v>2</v>
      </c>
      <c r="C227" s="139">
        <v>0.003339787015918944</v>
      </c>
      <c r="D227" s="67" t="s">
        <v>2234</v>
      </c>
      <c r="E227" s="67" t="b">
        <v>0</v>
      </c>
      <c r="F227" s="67" t="b">
        <v>0</v>
      </c>
      <c r="G227" s="67" t="b">
        <v>0</v>
      </c>
    </row>
    <row r="228" spans="1:7" ht="15">
      <c r="A228" s="136" t="s">
        <v>2203</v>
      </c>
      <c r="B228" s="67">
        <v>2</v>
      </c>
      <c r="C228" s="139">
        <v>0.003339787015918944</v>
      </c>
      <c r="D228" s="67" t="s">
        <v>2234</v>
      </c>
      <c r="E228" s="67" t="b">
        <v>0</v>
      </c>
      <c r="F228" s="67" t="b">
        <v>0</v>
      </c>
      <c r="G228" s="67" t="b">
        <v>0</v>
      </c>
    </row>
    <row r="229" spans="1:7" ht="15">
      <c r="A229" s="136" t="s">
        <v>2204</v>
      </c>
      <c r="B229" s="67">
        <v>2</v>
      </c>
      <c r="C229" s="139">
        <v>0.003339787015918944</v>
      </c>
      <c r="D229" s="67" t="s">
        <v>2234</v>
      </c>
      <c r="E229" s="67" t="b">
        <v>0</v>
      </c>
      <c r="F229" s="67" t="b">
        <v>0</v>
      </c>
      <c r="G229" s="67" t="b">
        <v>0</v>
      </c>
    </row>
    <row r="230" spans="1:7" ht="15">
      <c r="A230" s="136" t="s">
        <v>2205</v>
      </c>
      <c r="B230" s="67">
        <v>2</v>
      </c>
      <c r="C230" s="139">
        <v>0.003339787015918944</v>
      </c>
      <c r="D230" s="67" t="s">
        <v>2234</v>
      </c>
      <c r="E230" s="67" t="b">
        <v>0</v>
      </c>
      <c r="F230" s="67" t="b">
        <v>0</v>
      </c>
      <c r="G230" s="67" t="b">
        <v>0</v>
      </c>
    </row>
    <row r="231" spans="1:7" ht="15">
      <c r="A231" s="136" t="s">
        <v>2206</v>
      </c>
      <c r="B231" s="67">
        <v>2</v>
      </c>
      <c r="C231" s="139">
        <v>0.003339787015918944</v>
      </c>
      <c r="D231" s="67" t="s">
        <v>2234</v>
      </c>
      <c r="E231" s="67" t="b">
        <v>0</v>
      </c>
      <c r="F231" s="67" t="b">
        <v>0</v>
      </c>
      <c r="G231" s="67" t="b">
        <v>0</v>
      </c>
    </row>
    <row r="232" spans="1:7" ht="15">
      <c r="A232" s="136" t="s">
        <v>2207</v>
      </c>
      <c r="B232" s="67">
        <v>2</v>
      </c>
      <c r="C232" s="139">
        <v>0.003339787015918944</v>
      </c>
      <c r="D232" s="67" t="s">
        <v>2234</v>
      </c>
      <c r="E232" s="67" t="b">
        <v>0</v>
      </c>
      <c r="F232" s="67" t="b">
        <v>0</v>
      </c>
      <c r="G232" s="67" t="b">
        <v>0</v>
      </c>
    </row>
    <row r="233" spans="1:7" ht="15">
      <c r="A233" s="136" t="s">
        <v>2208</v>
      </c>
      <c r="B233" s="67">
        <v>2</v>
      </c>
      <c r="C233" s="139">
        <v>0.003339787015918944</v>
      </c>
      <c r="D233" s="67" t="s">
        <v>2234</v>
      </c>
      <c r="E233" s="67" t="b">
        <v>0</v>
      </c>
      <c r="F233" s="67" t="b">
        <v>0</v>
      </c>
      <c r="G233" s="67" t="b">
        <v>0</v>
      </c>
    </row>
    <row r="234" spans="1:7" ht="15">
      <c r="A234" s="136" t="s">
        <v>2209</v>
      </c>
      <c r="B234" s="67">
        <v>2</v>
      </c>
      <c r="C234" s="139">
        <v>0.003930041909377731</v>
      </c>
      <c r="D234" s="67" t="s">
        <v>2234</v>
      </c>
      <c r="E234" s="67" t="b">
        <v>0</v>
      </c>
      <c r="F234" s="67" t="b">
        <v>0</v>
      </c>
      <c r="G234" s="67" t="b">
        <v>0</v>
      </c>
    </row>
    <row r="235" spans="1:7" ht="15">
      <c r="A235" s="136" t="s">
        <v>927</v>
      </c>
      <c r="B235" s="67">
        <v>2</v>
      </c>
      <c r="C235" s="139">
        <v>0.003339787015918944</v>
      </c>
      <c r="D235" s="67" t="s">
        <v>2234</v>
      </c>
      <c r="E235" s="67" t="b">
        <v>0</v>
      </c>
      <c r="F235" s="67" t="b">
        <v>0</v>
      </c>
      <c r="G235" s="67" t="b">
        <v>0</v>
      </c>
    </row>
    <row r="236" spans="1:7" ht="15">
      <c r="A236" s="136" t="s">
        <v>2210</v>
      </c>
      <c r="B236" s="67">
        <v>2</v>
      </c>
      <c r="C236" s="139">
        <v>0.003339787015918944</v>
      </c>
      <c r="D236" s="67" t="s">
        <v>2234</v>
      </c>
      <c r="E236" s="67" t="b">
        <v>0</v>
      </c>
      <c r="F236" s="67" t="b">
        <v>0</v>
      </c>
      <c r="G236" s="67" t="b">
        <v>0</v>
      </c>
    </row>
    <row r="237" spans="1:7" ht="15">
      <c r="A237" s="136" t="s">
        <v>2211</v>
      </c>
      <c r="B237" s="67">
        <v>2</v>
      </c>
      <c r="C237" s="139">
        <v>0.003339787015918944</v>
      </c>
      <c r="D237" s="67" t="s">
        <v>2234</v>
      </c>
      <c r="E237" s="67" t="b">
        <v>0</v>
      </c>
      <c r="F237" s="67" t="b">
        <v>0</v>
      </c>
      <c r="G237" s="67" t="b">
        <v>0</v>
      </c>
    </row>
    <row r="238" spans="1:7" ht="15">
      <c r="A238" s="136" t="s">
        <v>2212</v>
      </c>
      <c r="B238" s="67">
        <v>2</v>
      </c>
      <c r="C238" s="139">
        <v>0.003339787015918944</v>
      </c>
      <c r="D238" s="67" t="s">
        <v>2234</v>
      </c>
      <c r="E238" s="67" t="b">
        <v>0</v>
      </c>
      <c r="F238" s="67" t="b">
        <v>0</v>
      </c>
      <c r="G238" s="67" t="b">
        <v>0</v>
      </c>
    </row>
    <row r="239" spans="1:7" ht="15">
      <c r="A239" s="136" t="s">
        <v>924</v>
      </c>
      <c r="B239" s="67">
        <v>2</v>
      </c>
      <c r="C239" s="139">
        <v>0.003339787015918944</v>
      </c>
      <c r="D239" s="67" t="s">
        <v>2234</v>
      </c>
      <c r="E239" s="67" t="b">
        <v>0</v>
      </c>
      <c r="F239" s="67" t="b">
        <v>0</v>
      </c>
      <c r="G239" s="67" t="b">
        <v>0</v>
      </c>
    </row>
    <row r="240" spans="1:7" ht="15">
      <c r="A240" s="136" t="s">
        <v>1815</v>
      </c>
      <c r="B240" s="67">
        <v>2</v>
      </c>
      <c r="C240" s="139">
        <v>0.003339787015918944</v>
      </c>
      <c r="D240" s="67" t="s">
        <v>2234</v>
      </c>
      <c r="E240" s="67" t="b">
        <v>0</v>
      </c>
      <c r="F240" s="67" t="b">
        <v>0</v>
      </c>
      <c r="G240" s="67" t="b">
        <v>0</v>
      </c>
    </row>
    <row r="241" spans="1:7" ht="15">
      <c r="A241" s="136" t="s">
        <v>2213</v>
      </c>
      <c r="B241" s="67">
        <v>2</v>
      </c>
      <c r="C241" s="139">
        <v>0.003339787015918944</v>
      </c>
      <c r="D241" s="67" t="s">
        <v>2234</v>
      </c>
      <c r="E241" s="67" t="b">
        <v>0</v>
      </c>
      <c r="F241" s="67" t="b">
        <v>0</v>
      </c>
      <c r="G241" s="67" t="b">
        <v>0</v>
      </c>
    </row>
    <row r="242" spans="1:7" ht="15">
      <c r="A242" s="136" t="s">
        <v>2214</v>
      </c>
      <c r="B242" s="67">
        <v>2</v>
      </c>
      <c r="C242" s="139">
        <v>0.003339787015918944</v>
      </c>
      <c r="D242" s="67" t="s">
        <v>2234</v>
      </c>
      <c r="E242" s="67" t="b">
        <v>0</v>
      </c>
      <c r="F242" s="67" t="b">
        <v>0</v>
      </c>
      <c r="G242" s="67" t="b">
        <v>0</v>
      </c>
    </row>
    <row r="243" spans="1:7" ht="15">
      <c r="A243" s="136" t="s">
        <v>2215</v>
      </c>
      <c r="B243" s="67">
        <v>2</v>
      </c>
      <c r="C243" s="139">
        <v>0.003339787015918944</v>
      </c>
      <c r="D243" s="67" t="s">
        <v>2234</v>
      </c>
      <c r="E243" s="67" t="b">
        <v>0</v>
      </c>
      <c r="F243" s="67" t="b">
        <v>0</v>
      </c>
      <c r="G243" s="67" t="b">
        <v>0</v>
      </c>
    </row>
    <row r="244" spans="1:7" ht="15">
      <c r="A244" s="136" t="s">
        <v>1844</v>
      </c>
      <c r="B244" s="67">
        <v>2</v>
      </c>
      <c r="C244" s="139">
        <v>0.003339787015918944</v>
      </c>
      <c r="D244" s="67" t="s">
        <v>2234</v>
      </c>
      <c r="E244" s="67" t="b">
        <v>0</v>
      </c>
      <c r="F244" s="67" t="b">
        <v>0</v>
      </c>
      <c r="G244" s="67" t="b">
        <v>0</v>
      </c>
    </row>
    <row r="245" spans="1:7" ht="15">
      <c r="A245" s="136" t="s">
        <v>1847</v>
      </c>
      <c r="B245" s="67">
        <v>2</v>
      </c>
      <c r="C245" s="139">
        <v>0.003339787015918944</v>
      </c>
      <c r="D245" s="67" t="s">
        <v>2234</v>
      </c>
      <c r="E245" s="67" t="b">
        <v>0</v>
      </c>
      <c r="F245" s="67" t="b">
        <v>0</v>
      </c>
      <c r="G245" s="67" t="b">
        <v>0</v>
      </c>
    </row>
    <row r="246" spans="1:7" ht="15">
      <c r="A246" s="136" t="s">
        <v>2216</v>
      </c>
      <c r="B246" s="67">
        <v>2</v>
      </c>
      <c r="C246" s="139">
        <v>0.003339787015918944</v>
      </c>
      <c r="D246" s="67" t="s">
        <v>2234</v>
      </c>
      <c r="E246" s="67" t="b">
        <v>0</v>
      </c>
      <c r="F246" s="67" t="b">
        <v>0</v>
      </c>
      <c r="G246" s="67" t="b">
        <v>0</v>
      </c>
    </row>
    <row r="247" spans="1:7" ht="15">
      <c r="A247" s="136" t="s">
        <v>2217</v>
      </c>
      <c r="B247" s="67">
        <v>2</v>
      </c>
      <c r="C247" s="139">
        <v>0.003339787015918944</v>
      </c>
      <c r="D247" s="67" t="s">
        <v>2234</v>
      </c>
      <c r="E247" s="67" t="b">
        <v>0</v>
      </c>
      <c r="F247" s="67" t="b">
        <v>0</v>
      </c>
      <c r="G247" s="67" t="b">
        <v>0</v>
      </c>
    </row>
    <row r="248" spans="1:7" ht="15">
      <c r="A248" s="136" t="s">
        <v>2218</v>
      </c>
      <c r="B248" s="67">
        <v>2</v>
      </c>
      <c r="C248" s="139">
        <v>0.003339787015918944</v>
      </c>
      <c r="D248" s="67" t="s">
        <v>2234</v>
      </c>
      <c r="E248" s="67" t="b">
        <v>0</v>
      </c>
      <c r="F248" s="67" t="b">
        <v>0</v>
      </c>
      <c r="G248" s="67" t="b">
        <v>0</v>
      </c>
    </row>
    <row r="249" spans="1:7" ht="15">
      <c r="A249" s="136" t="s">
        <v>1832</v>
      </c>
      <c r="B249" s="67">
        <v>2</v>
      </c>
      <c r="C249" s="139">
        <v>0.003339787015918944</v>
      </c>
      <c r="D249" s="67" t="s">
        <v>2234</v>
      </c>
      <c r="E249" s="67" t="b">
        <v>0</v>
      </c>
      <c r="F249" s="67" t="b">
        <v>0</v>
      </c>
      <c r="G249" s="67" t="b">
        <v>0</v>
      </c>
    </row>
    <row r="250" spans="1:7" ht="15">
      <c r="A250" s="136" t="s">
        <v>2219</v>
      </c>
      <c r="B250" s="67">
        <v>2</v>
      </c>
      <c r="C250" s="139">
        <v>0.003339787015918944</v>
      </c>
      <c r="D250" s="67" t="s">
        <v>2234</v>
      </c>
      <c r="E250" s="67" t="b">
        <v>0</v>
      </c>
      <c r="F250" s="67" t="b">
        <v>0</v>
      </c>
      <c r="G250" s="67" t="b">
        <v>0</v>
      </c>
    </row>
    <row r="251" spans="1:7" ht="15">
      <c r="A251" s="136" t="s">
        <v>2220</v>
      </c>
      <c r="B251" s="67">
        <v>2</v>
      </c>
      <c r="C251" s="139">
        <v>0.003339787015918944</v>
      </c>
      <c r="D251" s="67" t="s">
        <v>2234</v>
      </c>
      <c r="E251" s="67" t="b">
        <v>0</v>
      </c>
      <c r="F251" s="67" t="b">
        <v>0</v>
      </c>
      <c r="G251" s="67" t="b">
        <v>0</v>
      </c>
    </row>
    <row r="252" spans="1:7" ht="15">
      <c r="A252" s="136" t="s">
        <v>2221</v>
      </c>
      <c r="B252" s="67">
        <v>2</v>
      </c>
      <c r="C252" s="139">
        <v>0.003339787015918944</v>
      </c>
      <c r="D252" s="67" t="s">
        <v>2234</v>
      </c>
      <c r="E252" s="67" t="b">
        <v>0</v>
      </c>
      <c r="F252" s="67" t="b">
        <v>0</v>
      </c>
      <c r="G252" s="67" t="b">
        <v>0</v>
      </c>
    </row>
    <row r="253" spans="1:7" ht="15">
      <c r="A253" s="136" t="s">
        <v>925</v>
      </c>
      <c r="B253" s="67">
        <v>2</v>
      </c>
      <c r="C253" s="139">
        <v>0.003339787015918944</v>
      </c>
      <c r="D253" s="67" t="s">
        <v>2234</v>
      </c>
      <c r="E253" s="67" t="b">
        <v>0</v>
      </c>
      <c r="F253" s="67" t="b">
        <v>0</v>
      </c>
      <c r="G253" s="67" t="b">
        <v>0</v>
      </c>
    </row>
    <row r="254" spans="1:7" ht="15">
      <c r="A254" s="136" t="s">
        <v>1840</v>
      </c>
      <c r="B254" s="67">
        <v>2</v>
      </c>
      <c r="C254" s="139">
        <v>0.003339787015918944</v>
      </c>
      <c r="D254" s="67" t="s">
        <v>2234</v>
      </c>
      <c r="E254" s="67" t="b">
        <v>0</v>
      </c>
      <c r="F254" s="67" t="b">
        <v>0</v>
      </c>
      <c r="G254" s="67" t="b">
        <v>0</v>
      </c>
    </row>
    <row r="255" spans="1:7" ht="15">
      <c r="A255" s="136" t="s">
        <v>2222</v>
      </c>
      <c r="B255" s="67">
        <v>2</v>
      </c>
      <c r="C255" s="139">
        <v>0.003339787015918944</v>
      </c>
      <c r="D255" s="67" t="s">
        <v>2234</v>
      </c>
      <c r="E255" s="67" t="b">
        <v>0</v>
      </c>
      <c r="F255" s="67" t="b">
        <v>0</v>
      </c>
      <c r="G255" s="67" t="b">
        <v>0</v>
      </c>
    </row>
    <row r="256" spans="1:7" ht="15">
      <c r="A256" s="136" t="s">
        <v>2223</v>
      </c>
      <c r="B256" s="67">
        <v>2</v>
      </c>
      <c r="C256" s="139">
        <v>0.003339787015918944</v>
      </c>
      <c r="D256" s="67" t="s">
        <v>2234</v>
      </c>
      <c r="E256" s="67" t="b">
        <v>0</v>
      </c>
      <c r="F256" s="67" t="b">
        <v>0</v>
      </c>
      <c r="G256" s="67" t="b">
        <v>0</v>
      </c>
    </row>
    <row r="257" spans="1:7" ht="15">
      <c r="A257" s="136" t="s">
        <v>2224</v>
      </c>
      <c r="B257" s="67">
        <v>2</v>
      </c>
      <c r="C257" s="139">
        <v>0.003339787015918944</v>
      </c>
      <c r="D257" s="67" t="s">
        <v>2234</v>
      </c>
      <c r="E257" s="67" t="b">
        <v>0</v>
      </c>
      <c r="F257" s="67" t="b">
        <v>0</v>
      </c>
      <c r="G257" s="67" t="b">
        <v>0</v>
      </c>
    </row>
    <row r="258" spans="1:7" ht="15">
      <c r="A258" s="136" t="s">
        <v>2225</v>
      </c>
      <c r="B258" s="67">
        <v>2</v>
      </c>
      <c r="C258" s="139">
        <v>0.003339787015918944</v>
      </c>
      <c r="D258" s="67" t="s">
        <v>2234</v>
      </c>
      <c r="E258" s="67" t="b">
        <v>0</v>
      </c>
      <c r="F258" s="67" t="b">
        <v>0</v>
      </c>
      <c r="G258" s="67" t="b">
        <v>0</v>
      </c>
    </row>
    <row r="259" spans="1:7" ht="15">
      <c r="A259" s="136" t="s">
        <v>2226</v>
      </c>
      <c r="B259" s="67">
        <v>2</v>
      </c>
      <c r="C259" s="139">
        <v>0.003339787015918944</v>
      </c>
      <c r="D259" s="67" t="s">
        <v>2234</v>
      </c>
      <c r="E259" s="67" t="b">
        <v>0</v>
      </c>
      <c r="F259" s="67" t="b">
        <v>0</v>
      </c>
      <c r="G259" s="67" t="b">
        <v>0</v>
      </c>
    </row>
    <row r="260" spans="1:7" ht="15">
      <c r="A260" s="136" t="s">
        <v>2227</v>
      </c>
      <c r="B260" s="67">
        <v>2</v>
      </c>
      <c r="C260" s="139">
        <v>0.003339787015918944</v>
      </c>
      <c r="D260" s="67" t="s">
        <v>2234</v>
      </c>
      <c r="E260" s="67" t="b">
        <v>0</v>
      </c>
      <c r="F260" s="67" t="b">
        <v>0</v>
      </c>
      <c r="G260" s="67" t="b">
        <v>0</v>
      </c>
    </row>
    <row r="261" spans="1:7" ht="15">
      <c r="A261" s="136" t="s">
        <v>2228</v>
      </c>
      <c r="B261" s="67">
        <v>2</v>
      </c>
      <c r="C261" s="139">
        <v>0.003339787015918944</v>
      </c>
      <c r="D261" s="67" t="s">
        <v>2234</v>
      </c>
      <c r="E261" s="67" t="b">
        <v>0</v>
      </c>
      <c r="F261" s="67" t="b">
        <v>0</v>
      </c>
      <c r="G261" s="67" t="b">
        <v>0</v>
      </c>
    </row>
    <row r="262" spans="1:7" ht="15">
      <c r="A262" s="136" t="s">
        <v>2229</v>
      </c>
      <c r="B262" s="67">
        <v>2</v>
      </c>
      <c r="C262" s="139">
        <v>0.003339787015918944</v>
      </c>
      <c r="D262" s="67" t="s">
        <v>2234</v>
      </c>
      <c r="E262" s="67" t="b">
        <v>0</v>
      </c>
      <c r="F262" s="67" t="b">
        <v>0</v>
      </c>
      <c r="G262" s="67" t="b">
        <v>0</v>
      </c>
    </row>
    <row r="263" spans="1:7" ht="15">
      <c r="A263" s="136" t="s">
        <v>1827</v>
      </c>
      <c r="B263" s="67">
        <v>2</v>
      </c>
      <c r="C263" s="139">
        <v>0.003339787015918944</v>
      </c>
      <c r="D263" s="67" t="s">
        <v>2234</v>
      </c>
      <c r="E263" s="67" t="b">
        <v>0</v>
      </c>
      <c r="F263" s="67" t="b">
        <v>0</v>
      </c>
      <c r="G263" s="67" t="b">
        <v>0</v>
      </c>
    </row>
    <row r="264" spans="1:7" ht="15">
      <c r="A264" s="136" t="s">
        <v>2230</v>
      </c>
      <c r="B264" s="67">
        <v>2</v>
      </c>
      <c r="C264" s="139">
        <v>0.003339787015918944</v>
      </c>
      <c r="D264" s="67" t="s">
        <v>2234</v>
      </c>
      <c r="E264" s="67" t="b">
        <v>0</v>
      </c>
      <c r="F264" s="67" t="b">
        <v>0</v>
      </c>
      <c r="G264" s="67" t="b">
        <v>0</v>
      </c>
    </row>
    <row r="265" spans="1:7" ht="15">
      <c r="A265" s="136" t="s">
        <v>2231</v>
      </c>
      <c r="B265" s="67">
        <v>2</v>
      </c>
      <c r="C265" s="139">
        <v>0.003339787015918944</v>
      </c>
      <c r="D265" s="67" t="s">
        <v>2234</v>
      </c>
      <c r="E265" s="67" t="b">
        <v>0</v>
      </c>
      <c r="F265" s="67" t="b">
        <v>0</v>
      </c>
      <c r="G265" s="67" t="b">
        <v>0</v>
      </c>
    </row>
    <row r="266" spans="1:7" ht="15">
      <c r="A266" s="136" t="s">
        <v>2232</v>
      </c>
      <c r="B266" s="67">
        <v>2</v>
      </c>
      <c r="C266" s="139">
        <v>0.003339787015918944</v>
      </c>
      <c r="D266" s="67" t="s">
        <v>2234</v>
      </c>
      <c r="E266" s="67" t="b">
        <v>0</v>
      </c>
      <c r="F266" s="67" t="b">
        <v>0</v>
      </c>
      <c r="G266" s="67" t="b">
        <v>0</v>
      </c>
    </row>
    <row r="267" spans="1:7" ht="15">
      <c r="A267" s="136" t="s">
        <v>928</v>
      </c>
      <c r="B267" s="67">
        <v>2</v>
      </c>
      <c r="C267" s="139">
        <v>0.003339787015918944</v>
      </c>
      <c r="D267" s="67" t="s">
        <v>2234</v>
      </c>
      <c r="E267" s="67" t="b">
        <v>0</v>
      </c>
      <c r="F267" s="67" t="b">
        <v>0</v>
      </c>
      <c r="G267" s="67" t="b">
        <v>0</v>
      </c>
    </row>
    <row r="268" spans="1:7" ht="15">
      <c r="A268" s="136" t="s">
        <v>2233</v>
      </c>
      <c r="B268" s="67">
        <v>2</v>
      </c>
      <c r="C268" s="139">
        <v>0.003339787015918944</v>
      </c>
      <c r="D268" s="67" t="s">
        <v>2234</v>
      </c>
      <c r="E268" s="67" t="b">
        <v>0</v>
      </c>
      <c r="F268" s="67" t="b">
        <v>0</v>
      </c>
      <c r="G268" s="67" t="b">
        <v>0</v>
      </c>
    </row>
    <row r="269" spans="1:7" ht="15">
      <c r="A269" s="136" t="s">
        <v>1798</v>
      </c>
      <c r="B269" s="67">
        <v>14</v>
      </c>
      <c r="C269" s="139">
        <v>0.0180153403580567</v>
      </c>
      <c r="D269" s="67" t="s">
        <v>692</v>
      </c>
      <c r="E269" s="67" t="b">
        <v>0</v>
      </c>
      <c r="F269" s="67" t="b">
        <v>0</v>
      </c>
      <c r="G269" s="67" t="b">
        <v>0</v>
      </c>
    </row>
    <row r="270" spans="1:7" ht="15">
      <c r="A270" s="136" t="s">
        <v>1799</v>
      </c>
      <c r="B270" s="67">
        <v>14</v>
      </c>
      <c r="C270" s="139">
        <v>0.0180153403580567</v>
      </c>
      <c r="D270" s="67" t="s">
        <v>692</v>
      </c>
      <c r="E270" s="67" t="b">
        <v>0</v>
      </c>
      <c r="F270" s="67" t="b">
        <v>0</v>
      </c>
      <c r="G270" s="67" t="b">
        <v>0</v>
      </c>
    </row>
    <row r="271" spans="1:7" ht="15">
      <c r="A271" s="136" t="s">
        <v>958</v>
      </c>
      <c r="B271" s="67">
        <v>14</v>
      </c>
      <c r="C271" s="139">
        <v>0.0180153403580567</v>
      </c>
      <c r="D271" s="67" t="s">
        <v>692</v>
      </c>
      <c r="E271" s="67" t="b">
        <v>0</v>
      </c>
      <c r="F271" s="67" t="b">
        <v>0</v>
      </c>
      <c r="G271" s="67" t="b">
        <v>0</v>
      </c>
    </row>
    <row r="272" spans="1:7" ht="15">
      <c r="A272" s="136" t="s">
        <v>1804</v>
      </c>
      <c r="B272" s="67">
        <v>7</v>
      </c>
      <c r="C272" s="139">
        <v>0.01686083327982762</v>
      </c>
      <c r="D272" s="67" t="s">
        <v>692</v>
      </c>
      <c r="E272" s="67" t="b">
        <v>0</v>
      </c>
      <c r="F272" s="67" t="b">
        <v>0</v>
      </c>
      <c r="G272" s="67" t="b">
        <v>0</v>
      </c>
    </row>
    <row r="273" spans="1:7" ht="15">
      <c r="A273" s="136" t="s">
        <v>1802</v>
      </c>
      <c r="B273" s="67">
        <v>6</v>
      </c>
      <c r="C273" s="139">
        <v>0.014452142811280816</v>
      </c>
      <c r="D273" s="67" t="s">
        <v>692</v>
      </c>
      <c r="E273" s="67" t="b">
        <v>0</v>
      </c>
      <c r="F273" s="67" t="b">
        <v>0</v>
      </c>
      <c r="G273" s="67" t="b">
        <v>0</v>
      </c>
    </row>
    <row r="274" spans="1:7" ht="15">
      <c r="A274" s="136" t="s">
        <v>1806</v>
      </c>
      <c r="B274" s="67">
        <v>6</v>
      </c>
      <c r="C274" s="139">
        <v>0.014452142811280816</v>
      </c>
      <c r="D274" s="67" t="s">
        <v>692</v>
      </c>
      <c r="E274" s="67" t="b">
        <v>0</v>
      </c>
      <c r="F274" s="67" t="b">
        <v>0</v>
      </c>
      <c r="G274" s="67" t="b">
        <v>0</v>
      </c>
    </row>
    <row r="275" spans="1:7" ht="15">
      <c r="A275" s="136" t="s">
        <v>929</v>
      </c>
      <c r="B275" s="67">
        <v>6</v>
      </c>
      <c r="C275" s="139">
        <v>0.014452142811280816</v>
      </c>
      <c r="D275" s="67" t="s">
        <v>692</v>
      </c>
      <c r="E275" s="67" t="b">
        <v>0</v>
      </c>
      <c r="F275" s="67" t="b">
        <v>0</v>
      </c>
      <c r="G275" s="67" t="b">
        <v>0</v>
      </c>
    </row>
    <row r="276" spans="1:7" ht="15">
      <c r="A276" s="136" t="s">
        <v>1808</v>
      </c>
      <c r="B276" s="67">
        <v>4</v>
      </c>
      <c r="C276" s="139">
        <v>0.011782216252915033</v>
      </c>
      <c r="D276" s="67" t="s">
        <v>692</v>
      </c>
      <c r="E276" s="67" t="b">
        <v>0</v>
      </c>
      <c r="F276" s="67" t="b">
        <v>0</v>
      </c>
      <c r="G276" s="67" t="b">
        <v>0</v>
      </c>
    </row>
    <row r="277" spans="1:7" ht="15">
      <c r="A277" s="136" t="s">
        <v>1807</v>
      </c>
      <c r="B277" s="67">
        <v>4</v>
      </c>
      <c r="C277" s="139">
        <v>0.015453313761012362</v>
      </c>
      <c r="D277" s="67" t="s">
        <v>692</v>
      </c>
      <c r="E277" s="67" t="b">
        <v>0</v>
      </c>
      <c r="F277" s="67" t="b">
        <v>0</v>
      </c>
      <c r="G277" s="67" t="b">
        <v>0</v>
      </c>
    </row>
    <row r="278" spans="1:7" ht="15">
      <c r="A278" s="136" t="s">
        <v>1809</v>
      </c>
      <c r="B278" s="67">
        <v>4</v>
      </c>
      <c r="C278" s="139">
        <v>0.011782216252915033</v>
      </c>
      <c r="D278" s="67" t="s">
        <v>692</v>
      </c>
      <c r="E278" s="67" t="b">
        <v>0</v>
      </c>
      <c r="F278" s="67" t="b">
        <v>0</v>
      </c>
      <c r="G278" s="67" t="b">
        <v>0</v>
      </c>
    </row>
    <row r="279" spans="1:7" ht="15">
      <c r="A279" s="136" t="s">
        <v>926</v>
      </c>
      <c r="B279" s="67">
        <v>3</v>
      </c>
      <c r="C279" s="139">
        <v>0.009979394536713407</v>
      </c>
      <c r="D279" s="67" t="s">
        <v>692</v>
      </c>
      <c r="E279" s="67" t="b">
        <v>0</v>
      </c>
      <c r="F279" s="67" t="b">
        <v>0</v>
      </c>
      <c r="G279" s="67" t="b">
        <v>0</v>
      </c>
    </row>
    <row r="280" spans="1:7" ht="15">
      <c r="A280" s="136" t="s">
        <v>934</v>
      </c>
      <c r="B280" s="67">
        <v>3</v>
      </c>
      <c r="C280" s="139">
        <v>0.009979394536713407</v>
      </c>
      <c r="D280" s="67" t="s">
        <v>692</v>
      </c>
      <c r="E280" s="67" t="b">
        <v>0</v>
      </c>
      <c r="F280" s="67" t="b">
        <v>0</v>
      </c>
      <c r="G280" s="67" t="b">
        <v>0</v>
      </c>
    </row>
    <row r="281" spans="1:7" ht="15">
      <c r="A281" s="136" t="s">
        <v>2201</v>
      </c>
      <c r="B281" s="67">
        <v>2</v>
      </c>
      <c r="C281" s="139">
        <v>0.007726656880506181</v>
      </c>
      <c r="D281" s="67" t="s">
        <v>692</v>
      </c>
      <c r="E281" s="67" t="b">
        <v>0</v>
      </c>
      <c r="F281" s="67" t="b">
        <v>0</v>
      </c>
      <c r="G281" s="67" t="b">
        <v>0</v>
      </c>
    </row>
    <row r="282" spans="1:7" ht="15">
      <c r="A282" s="136" t="s">
        <v>2179</v>
      </c>
      <c r="B282" s="67">
        <v>2</v>
      </c>
      <c r="C282" s="139">
        <v>0.007726656880506181</v>
      </c>
      <c r="D282" s="67" t="s">
        <v>692</v>
      </c>
      <c r="E282" s="67" t="b">
        <v>0</v>
      </c>
      <c r="F282" s="67" t="b">
        <v>0</v>
      </c>
      <c r="G282" s="67" t="b">
        <v>0</v>
      </c>
    </row>
    <row r="283" spans="1:7" ht="15">
      <c r="A283" s="136" t="s">
        <v>2223</v>
      </c>
      <c r="B283" s="67">
        <v>2</v>
      </c>
      <c r="C283" s="139">
        <v>0.007726656880506181</v>
      </c>
      <c r="D283" s="67" t="s">
        <v>692</v>
      </c>
      <c r="E283" s="67" t="b">
        <v>0</v>
      </c>
      <c r="F283" s="67" t="b">
        <v>0</v>
      </c>
      <c r="G283" s="67" t="b">
        <v>0</v>
      </c>
    </row>
    <row r="284" spans="1:7" ht="15">
      <c r="A284" s="136" t="s">
        <v>2068</v>
      </c>
      <c r="B284" s="67">
        <v>2</v>
      </c>
      <c r="C284" s="139">
        <v>0.007726656880506181</v>
      </c>
      <c r="D284" s="67" t="s">
        <v>692</v>
      </c>
      <c r="E284" s="67" t="b">
        <v>0</v>
      </c>
      <c r="F284" s="67" t="b">
        <v>0</v>
      </c>
      <c r="G284" s="67" t="b">
        <v>0</v>
      </c>
    </row>
    <row r="285" spans="1:7" ht="15">
      <c r="A285" s="136" t="s">
        <v>2088</v>
      </c>
      <c r="B285" s="67">
        <v>2</v>
      </c>
      <c r="C285" s="139">
        <v>0.007726656880506181</v>
      </c>
      <c r="D285" s="67" t="s">
        <v>692</v>
      </c>
      <c r="E285" s="67" t="b">
        <v>0</v>
      </c>
      <c r="F285" s="67" t="b">
        <v>0</v>
      </c>
      <c r="G285" s="67" t="b">
        <v>0</v>
      </c>
    </row>
    <row r="286" spans="1:7" ht="15">
      <c r="A286" s="136" t="s">
        <v>2167</v>
      </c>
      <c r="B286" s="67">
        <v>2</v>
      </c>
      <c r="C286" s="139">
        <v>0.007726656880506181</v>
      </c>
      <c r="D286" s="67" t="s">
        <v>692</v>
      </c>
      <c r="E286" s="67" t="b">
        <v>0</v>
      </c>
      <c r="F286" s="67" t="b">
        <v>0</v>
      </c>
      <c r="G286" s="67" t="b">
        <v>0</v>
      </c>
    </row>
    <row r="287" spans="1:7" ht="15">
      <c r="A287" s="136" t="s">
        <v>2218</v>
      </c>
      <c r="B287" s="67">
        <v>2</v>
      </c>
      <c r="C287" s="139">
        <v>0.007726656880506181</v>
      </c>
      <c r="D287" s="67" t="s">
        <v>692</v>
      </c>
      <c r="E287" s="67" t="b">
        <v>0</v>
      </c>
      <c r="F287" s="67" t="b">
        <v>0</v>
      </c>
      <c r="G287" s="67" t="b">
        <v>0</v>
      </c>
    </row>
    <row r="288" spans="1:7" ht="15">
      <c r="A288" s="136" t="s">
        <v>931</v>
      </c>
      <c r="B288" s="67">
        <v>2</v>
      </c>
      <c r="C288" s="139">
        <v>0.007726656880506181</v>
      </c>
      <c r="D288" s="67" t="s">
        <v>692</v>
      </c>
      <c r="E288" s="67" t="b">
        <v>0</v>
      </c>
      <c r="F288" s="67" t="b">
        <v>0</v>
      </c>
      <c r="G288" s="67" t="b">
        <v>0</v>
      </c>
    </row>
    <row r="289" spans="1:7" ht="15">
      <c r="A289" s="136" t="s">
        <v>2098</v>
      </c>
      <c r="B289" s="67">
        <v>2</v>
      </c>
      <c r="C289" s="139">
        <v>0.007726656880506181</v>
      </c>
      <c r="D289" s="67" t="s">
        <v>692</v>
      </c>
      <c r="E289" s="67" t="b">
        <v>0</v>
      </c>
      <c r="F289" s="67" t="b">
        <v>0</v>
      </c>
      <c r="G289" s="67" t="b">
        <v>0</v>
      </c>
    </row>
    <row r="290" spans="1:7" ht="15">
      <c r="A290" s="136" t="s">
        <v>2176</v>
      </c>
      <c r="B290" s="67">
        <v>2</v>
      </c>
      <c r="C290" s="139">
        <v>0.007726656880506181</v>
      </c>
      <c r="D290" s="67" t="s">
        <v>692</v>
      </c>
      <c r="E290" s="67" t="b">
        <v>0</v>
      </c>
      <c r="F290" s="67" t="b">
        <v>0</v>
      </c>
      <c r="G290" s="67" t="b">
        <v>0</v>
      </c>
    </row>
    <row r="291" spans="1:7" ht="15">
      <c r="A291" s="136" t="s">
        <v>2164</v>
      </c>
      <c r="B291" s="67">
        <v>2</v>
      </c>
      <c r="C291" s="139">
        <v>0.007726656880506181</v>
      </c>
      <c r="D291" s="67" t="s">
        <v>692</v>
      </c>
      <c r="E291" s="67" t="b">
        <v>0</v>
      </c>
      <c r="F291" s="67" t="b">
        <v>0</v>
      </c>
      <c r="G291" s="67" t="b">
        <v>0</v>
      </c>
    </row>
    <row r="292" spans="1:7" ht="15">
      <c r="A292" s="136" t="s">
        <v>2155</v>
      </c>
      <c r="B292" s="67">
        <v>2</v>
      </c>
      <c r="C292" s="139">
        <v>0.007726656880506181</v>
      </c>
      <c r="D292" s="67" t="s">
        <v>692</v>
      </c>
      <c r="E292" s="67" t="b">
        <v>0</v>
      </c>
      <c r="F292" s="67" t="b">
        <v>0</v>
      </c>
      <c r="G292" s="67" t="b">
        <v>0</v>
      </c>
    </row>
    <row r="293" spans="1:7" ht="15">
      <c r="A293" s="136" t="s">
        <v>2221</v>
      </c>
      <c r="B293" s="67">
        <v>2</v>
      </c>
      <c r="C293" s="139">
        <v>0.007726656880506181</v>
      </c>
      <c r="D293" s="67" t="s">
        <v>692</v>
      </c>
      <c r="E293" s="67" t="b">
        <v>0</v>
      </c>
      <c r="F293" s="67" t="b">
        <v>0</v>
      </c>
      <c r="G293" s="67" t="b">
        <v>0</v>
      </c>
    </row>
    <row r="294" spans="1:7" ht="15">
      <c r="A294" s="136" t="s">
        <v>2116</v>
      </c>
      <c r="B294" s="67">
        <v>2</v>
      </c>
      <c r="C294" s="139">
        <v>0.007726656880506181</v>
      </c>
      <c r="D294" s="67" t="s">
        <v>692</v>
      </c>
      <c r="E294" s="67" t="b">
        <v>0</v>
      </c>
      <c r="F294" s="67" t="b">
        <v>0</v>
      </c>
      <c r="G294" s="67" t="b">
        <v>0</v>
      </c>
    </row>
    <row r="295" spans="1:7" ht="15">
      <c r="A295" s="136" t="s">
        <v>1835</v>
      </c>
      <c r="B295" s="67">
        <v>2</v>
      </c>
      <c r="C295" s="139">
        <v>0.007726656880506181</v>
      </c>
      <c r="D295" s="67" t="s">
        <v>692</v>
      </c>
      <c r="E295" s="67" t="b">
        <v>0</v>
      </c>
      <c r="F295" s="67" t="b">
        <v>0</v>
      </c>
      <c r="G295" s="67" t="b">
        <v>0</v>
      </c>
    </row>
    <row r="296" spans="1:7" ht="15">
      <c r="A296" s="136" t="s">
        <v>2107</v>
      </c>
      <c r="B296" s="67">
        <v>2</v>
      </c>
      <c r="C296" s="139">
        <v>0.007726656880506181</v>
      </c>
      <c r="D296" s="67" t="s">
        <v>692</v>
      </c>
      <c r="E296" s="67" t="b">
        <v>0</v>
      </c>
      <c r="F296" s="67" t="b">
        <v>0</v>
      </c>
      <c r="G296" s="67" t="b">
        <v>0</v>
      </c>
    </row>
    <row r="297" spans="1:7" ht="15">
      <c r="A297" s="136" t="s">
        <v>2143</v>
      </c>
      <c r="B297" s="67">
        <v>2</v>
      </c>
      <c r="C297" s="139">
        <v>0.007726656880506181</v>
      </c>
      <c r="D297" s="67" t="s">
        <v>692</v>
      </c>
      <c r="E297" s="67" t="b">
        <v>0</v>
      </c>
      <c r="F297" s="67" t="b">
        <v>0</v>
      </c>
      <c r="G297" s="67" t="b">
        <v>0</v>
      </c>
    </row>
    <row r="298" spans="1:7" ht="15">
      <c r="A298" s="136" t="s">
        <v>925</v>
      </c>
      <c r="B298" s="67">
        <v>2</v>
      </c>
      <c r="C298" s="139">
        <v>0.007726656880506181</v>
      </c>
      <c r="D298" s="67" t="s">
        <v>692</v>
      </c>
      <c r="E298" s="67" t="b">
        <v>0</v>
      </c>
      <c r="F298" s="67" t="b">
        <v>0</v>
      </c>
      <c r="G298" s="67" t="b">
        <v>0</v>
      </c>
    </row>
    <row r="299" spans="1:7" ht="15">
      <c r="A299" s="136" t="s">
        <v>2153</v>
      </c>
      <c r="B299" s="67">
        <v>2</v>
      </c>
      <c r="C299" s="139">
        <v>0.007726656880506181</v>
      </c>
      <c r="D299" s="67" t="s">
        <v>692</v>
      </c>
      <c r="E299" s="67" t="b">
        <v>0</v>
      </c>
      <c r="F299" s="67" t="b">
        <v>0</v>
      </c>
      <c r="G299" s="67" t="b">
        <v>0</v>
      </c>
    </row>
    <row r="300" spans="1:7" ht="15">
      <c r="A300" s="136" t="s">
        <v>2105</v>
      </c>
      <c r="B300" s="67">
        <v>2</v>
      </c>
      <c r="C300" s="139">
        <v>0.007726656880506181</v>
      </c>
      <c r="D300" s="67" t="s">
        <v>692</v>
      </c>
      <c r="E300" s="67" t="b">
        <v>0</v>
      </c>
      <c r="F300" s="67" t="b">
        <v>0</v>
      </c>
      <c r="G300" s="67" t="b">
        <v>0</v>
      </c>
    </row>
    <row r="301" spans="1:7" ht="15">
      <c r="A301" s="136" t="s">
        <v>2224</v>
      </c>
      <c r="B301" s="67">
        <v>2</v>
      </c>
      <c r="C301" s="139">
        <v>0.007726656880506181</v>
      </c>
      <c r="D301" s="67" t="s">
        <v>692</v>
      </c>
      <c r="E301" s="67" t="b">
        <v>0</v>
      </c>
      <c r="F301" s="67" t="b">
        <v>0</v>
      </c>
      <c r="G301" s="67" t="b">
        <v>0</v>
      </c>
    </row>
    <row r="302" spans="1:7" ht="15">
      <c r="A302" s="136" t="s">
        <v>2113</v>
      </c>
      <c r="B302" s="67">
        <v>2</v>
      </c>
      <c r="C302" s="139">
        <v>0.007726656880506181</v>
      </c>
      <c r="D302" s="67" t="s">
        <v>692</v>
      </c>
      <c r="E302" s="67" t="b">
        <v>0</v>
      </c>
      <c r="F302" s="67" t="b">
        <v>0</v>
      </c>
      <c r="G302" s="67" t="b">
        <v>0</v>
      </c>
    </row>
    <row r="303" spans="1:7" ht="15">
      <c r="A303" s="136" t="s">
        <v>2057</v>
      </c>
      <c r="B303" s="67">
        <v>2</v>
      </c>
      <c r="C303" s="139">
        <v>0.007726656880506181</v>
      </c>
      <c r="D303" s="67" t="s">
        <v>692</v>
      </c>
      <c r="E303" s="67" t="b">
        <v>0</v>
      </c>
      <c r="F303" s="67" t="b">
        <v>0</v>
      </c>
      <c r="G303" s="67" t="b">
        <v>0</v>
      </c>
    </row>
    <row r="304" spans="1:7" ht="15">
      <c r="A304" s="136" t="s">
        <v>2170</v>
      </c>
      <c r="B304" s="67">
        <v>2</v>
      </c>
      <c r="C304" s="139">
        <v>0.007726656880506181</v>
      </c>
      <c r="D304" s="67" t="s">
        <v>692</v>
      </c>
      <c r="E304" s="67" t="b">
        <v>0</v>
      </c>
      <c r="F304" s="67" t="b">
        <v>0</v>
      </c>
      <c r="G304" s="67" t="b">
        <v>0</v>
      </c>
    </row>
    <row r="305" spans="1:7" ht="15">
      <c r="A305" s="136" t="s">
        <v>2089</v>
      </c>
      <c r="B305" s="67">
        <v>2</v>
      </c>
      <c r="C305" s="139">
        <v>0.007726656880506181</v>
      </c>
      <c r="D305" s="67" t="s">
        <v>692</v>
      </c>
      <c r="E305" s="67" t="b">
        <v>0</v>
      </c>
      <c r="F305" s="67" t="b">
        <v>0</v>
      </c>
      <c r="G305" s="67" t="b">
        <v>0</v>
      </c>
    </row>
    <row r="306" spans="1:7" ht="15">
      <c r="A306" s="136" t="s">
        <v>2141</v>
      </c>
      <c r="B306" s="67">
        <v>2</v>
      </c>
      <c r="C306" s="139">
        <v>0.007726656880506181</v>
      </c>
      <c r="D306" s="67" t="s">
        <v>692</v>
      </c>
      <c r="E306" s="67" t="b">
        <v>0</v>
      </c>
      <c r="F306" s="67" t="b">
        <v>0</v>
      </c>
      <c r="G306" s="67" t="b">
        <v>0</v>
      </c>
    </row>
    <row r="307" spans="1:7" ht="15">
      <c r="A307" s="136" t="s">
        <v>2079</v>
      </c>
      <c r="B307" s="67">
        <v>2</v>
      </c>
      <c r="C307" s="139">
        <v>0.007726656880506181</v>
      </c>
      <c r="D307" s="67" t="s">
        <v>692</v>
      </c>
      <c r="E307" s="67" t="b">
        <v>0</v>
      </c>
      <c r="F307" s="67" t="b">
        <v>0</v>
      </c>
      <c r="G307" s="67" t="b">
        <v>0</v>
      </c>
    </row>
    <row r="308" spans="1:7" ht="15">
      <c r="A308" s="136" t="s">
        <v>2110</v>
      </c>
      <c r="B308" s="67">
        <v>2</v>
      </c>
      <c r="C308" s="139">
        <v>0.007726656880506181</v>
      </c>
      <c r="D308" s="67" t="s">
        <v>692</v>
      </c>
      <c r="E308" s="67" t="b">
        <v>0</v>
      </c>
      <c r="F308" s="67" t="b">
        <v>0</v>
      </c>
      <c r="G308" s="67" t="b">
        <v>0</v>
      </c>
    </row>
    <row r="309" spans="1:7" ht="15">
      <c r="A309" s="136" t="s">
        <v>2192</v>
      </c>
      <c r="B309" s="67">
        <v>2</v>
      </c>
      <c r="C309" s="139">
        <v>0.007726656880506181</v>
      </c>
      <c r="D309" s="67" t="s">
        <v>692</v>
      </c>
      <c r="E309" s="67" t="b">
        <v>0</v>
      </c>
      <c r="F309" s="67" t="b">
        <v>0</v>
      </c>
      <c r="G309" s="67" t="b">
        <v>0</v>
      </c>
    </row>
    <row r="310" spans="1:7" ht="15">
      <c r="A310" s="136" t="s">
        <v>2198</v>
      </c>
      <c r="B310" s="67">
        <v>2</v>
      </c>
      <c r="C310" s="139">
        <v>0.007726656880506181</v>
      </c>
      <c r="D310" s="67" t="s">
        <v>692</v>
      </c>
      <c r="E310" s="67" t="b">
        <v>0</v>
      </c>
      <c r="F310" s="67" t="b">
        <v>0</v>
      </c>
      <c r="G310" s="67" t="b">
        <v>0</v>
      </c>
    </row>
    <row r="311" spans="1:7" ht="15">
      <c r="A311" s="136" t="s">
        <v>2157</v>
      </c>
      <c r="B311" s="67">
        <v>2</v>
      </c>
      <c r="C311" s="139">
        <v>0.007726656880506181</v>
      </c>
      <c r="D311" s="67" t="s">
        <v>692</v>
      </c>
      <c r="E311" s="67" t="b">
        <v>0</v>
      </c>
      <c r="F311" s="67" t="b">
        <v>0</v>
      </c>
      <c r="G311" s="67" t="b">
        <v>0</v>
      </c>
    </row>
    <row r="312" spans="1:7" ht="15">
      <c r="A312" s="136" t="s">
        <v>2132</v>
      </c>
      <c r="B312" s="67">
        <v>2</v>
      </c>
      <c r="C312" s="139">
        <v>0.007726656880506181</v>
      </c>
      <c r="D312" s="67" t="s">
        <v>692</v>
      </c>
      <c r="E312" s="67" t="b">
        <v>0</v>
      </c>
      <c r="F312" s="67" t="b">
        <v>0</v>
      </c>
      <c r="G312" s="67" t="b">
        <v>0</v>
      </c>
    </row>
    <row r="313" spans="1:7" ht="15">
      <c r="A313" s="136" t="s">
        <v>2138</v>
      </c>
      <c r="B313" s="67">
        <v>2</v>
      </c>
      <c r="C313" s="139">
        <v>0.007726656880506181</v>
      </c>
      <c r="D313" s="67" t="s">
        <v>692</v>
      </c>
      <c r="E313" s="67" t="b">
        <v>0</v>
      </c>
      <c r="F313" s="67" t="b">
        <v>0</v>
      </c>
      <c r="G313" s="67" t="b">
        <v>0</v>
      </c>
    </row>
    <row r="314" spans="1:7" ht="15">
      <c r="A314" s="136" t="s">
        <v>2183</v>
      </c>
      <c r="B314" s="67">
        <v>2</v>
      </c>
      <c r="C314" s="139">
        <v>0.007726656880506181</v>
      </c>
      <c r="D314" s="67" t="s">
        <v>692</v>
      </c>
      <c r="E314" s="67" t="b">
        <v>0</v>
      </c>
      <c r="F314" s="67" t="b">
        <v>0</v>
      </c>
      <c r="G314" s="67" t="b">
        <v>0</v>
      </c>
    </row>
    <row r="315" spans="1:7" ht="15">
      <c r="A315" s="136" t="s">
        <v>2127</v>
      </c>
      <c r="B315" s="67">
        <v>2</v>
      </c>
      <c r="C315" s="139">
        <v>0.007726656880506181</v>
      </c>
      <c r="D315" s="67" t="s">
        <v>692</v>
      </c>
      <c r="E315" s="67" t="b">
        <v>0</v>
      </c>
      <c r="F315" s="67" t="b">
        <v>0</v>
      </c>
      <c r="G315" s="67" t="b">
        <v>0</v>
      </c>
    </row>
    <row r="316" spans="1:7" ht="15">
      <c r="A316" s="136" t="s">
        <v>2093</v>
      </c>
      <c r="B316" s="67">
        <v>2</v>
      </c>
      <c r="C316" s="139">
        <v>0.007726656880506181</v>
      </c>
      <c r="D316" s="67" t="s">
        <v>692</v>
      </c>
      <c r="E316" s="67" t="b">
        <v>0</v>
      </c>
      <c r="F316" s="67" t="b">
        <v>0</v>
      </c>
      <c r="G316" s="67" t="b">
        <v>0</v>
      </c>
    </row>
    <row r="317" spans="1:7" ht="15">
      <c r="A317" s="136" t="s">
        <v>2186</v>
      </c>
      <c r="B317" s="67">
        <v>2</v>
      </c>
      <c r="C317" s="139">
        <v>0.007726656880506181</v>
      </c>
      <c r="D317" s="67" t="s">
        <v>692</v>
      </c>
      <c r="E317" s="67" t="b">
        <v>0</v>
      </c>
      <c r="F317" s="67" t="b">
        <v>0</v>
      </c>
      <c r="G317" s="67" t="b">
        <v>0</v>
      </c>
    </row>
    <row r="318" spans="1:7" ht="15">
      <c r="A318" s="136" t="s">
        <v>2125</v>
      </c>
      <c r="B318" s="67">
        <v>2</v>
      </c>
      <c r="C318" s="139">
        <v>0.007726656880506181</v>
      </c>
      <c r="D318" s="67" t="s">
        <v>692</v>
      </c>
      <c r="E318" s="67" t="b">
        <v>0</v>
      </c>
      <c r="F318" s="67" t="b">
        <v>0</v>
      </c>
      <c r="G318" s="67" t="b">
        <v>0</v>
      </c>
    </row>
    <row r="319" spans="1:7" ht="15">
      <c r="A319" s="136" t="s">
        <v>2207</v>
      </c>
      <c r="B319" s="67">
        <v>2</v>
      </c>
      <c r="C319" s="139">
        <v>0.007726656880506181</v>
      </c>
      <c r="D319" s="67" t="s">
        <v>692</v>
      </c>
      <c r="E319" s="67" t="b">
        <v>0</v>
      </c>
      <c r="F319" s="67" t="b">
        <v>0</v>
      </c>
      <c r="G319" s="67" t="b">
        <v>0</v>
      </c>
    </row>
    <row r="320" spans="1:7" ht="15">
      <c r="A320" s="136" t="s">
        <v>2151</v>
      </c>
      <c r="B320" s="67">
        <v>2</v>
      </c>
      <c r="C320" s="139">
        <v>0.007726656880506181</v>
      </c>
      <c r="D320" s="67" t="s">
        <v>692</v>
      </c>
      <c r="E320" s="67" t="b">
        <v>0</v>
      </c>
      <c r="F320" s="67" t="b">
        <v>0</v>
      </c>
      <c r="G320" s="67" t="b">
        <v>0</v>
      </c>
    </row>
    <row r="321" spans="1:7" ht="15">
      <c r="A321" s="136" t="s">
        <v>2177</v>
      </c>
      <c r="B321" s="67">
        <v>2</v>
      </c>
      <c r="C321" s="139">
        <v>0.007726656880506181</v>
      </c>
      <c r="D321" s="67" t="s">
        <v>692</v>
      </c>
      <c r="E321" s="67" t="b">
        <v>0</v>
      </c>
      <c r="F321" s="67" t="b">
        <v>0</v>
      </c>
      <c r="G321" s="67" t="b">
        <v>0</v>
      </c>
    </row>
    <row r="322" spans="1:7" ht="15">
      <c r="A322" s="136" t="s">
        <v>2196</v>
      </c>
      <c r="B322" s="67">
        <v>2</v>
      </c>
      <c r="C322" s="139">
        <v>0.007726656880506181</v>
      </c>
      <c r="D322" s="67" t="s">
        <v>692</v>
      </c>
      <c r="E322" s="67" t="b">
        <v>0</v>
      </c>
      <c r="F322" s="67" t="b">
        <v>0</v>
      </c>
      <c r="G322" s="67" t="b">
        <v>0</v>
      </c>
    </row>
    <row r="323" spans="1:7" ht="15">
      <c r="A323" s="136" t="s">
        <v>2121</v>
      </c>
      <c r="B323" s="67">
        <v>2</v>
      </c>
      <c r="C323" s="139">
        <v>0.007726656880506181</v>
      </c>
      <c r="D323" s="67" t="s">
        <v>692</v>
      </c>
      <c r="E323" s="67" t="b">
        <v>0</v>
      </c>
      <c r="F323" s="67" t="b">
        <v>0</v>
      </c>
      <c r="G323" s="67" t="b">
        <v>0</v>
      </c>
    </row>
    <row r="324" spans="1:7" ht="15">
      <c r="A324" s="136" t="s">
        <v>2146</v>
      </c>
      <c r="B324" s="67">
        <v>2</v>
      </c>
      <c r="C324" s="139">
        <v>0.007726656880506181</v>
      </c>
      <c r="D324" s="67" t="s">
        <v>692</v>
      </c>
      <c r="E324" s="67" t="b">
        <v>0</v>
      </c>
      <c r="F324" s="67" t="b">
        <v>0</v>
      </c>
      <c r="G324" s="67" t="b">
        <v>0</v>
      </c>
    </row>
    <row r="325" spans="1:7" ht="15">
      <c r="A325" s="136" t="s">
        <v>2117</v>
      </c>
      <c r="B325" s="67">
        <v>2</v>
      </c>
      <c r="C325" s="139">
        <v>0.007726656880506181</v>
      </c>
      <c r="D325" s="67" t="s">
        <v>692</v>
      </c>
      <c r="E325" s="67" t="b">
        <v>0</v>
      </c>
      <c r="F325" s="67" t="b">
        <v>0</v>
      </c>
      <c r="G325" s="67" t="b">
        <v>0</v>
      </c>
    </row>
    <row r="326" spans="1:7" ht="15">
      <c r="A326" s="136" t="s">
        <v>2209</v>
      </c>
      <c r="B326" s="67">
        <v>2</v>
      </c>
      <c r="C326" s="139">
        <v>0.009562205634554849</v>
      </c>
      <c r="D326" s="67" t="s">
        <v>692</v>
      </c>
      <c r="E326" s="67" t="b">
        <v>0</v>
      </c>
      <c r="F326" s="67" t="b">
        <v>0</v>
      </c>
      <c r="G326" s="67" t="b">
        <v>0</v>
      </c>
    </row>
    <row r="327" spans="1:7" ht="15">
      <c r="A327" s="136" t="s">
        <v>957</v>
      </c>
      <c r="B327" s="67">
        <v>2</v>
      </c>
      <c r="C327" s="139">
        <v>0.007726656880506181</v>
      </c>
      <c r="D327" s="67" t="s">
        <v>692</v>
      </c>
      <c r="E327" s="67" t="b">
        <v>0</v>
      </c>
      <c r="F327" s="67" t="b">
        <v>0</v>
      </c>
      <c r="G327" s="67" t="b">
        <v>0</v>
      </c>
    </row>
    <row r="328" spans="1:7" ht="15">
      <c r="A328" s="136" t="s">
        <v>2168</v>
      </c>
      <c r="B328" s="67">
        <v>2</v>
      </c>
      <c r="C328" s="139">
        <v>0.007726656880506181</v>
      </c>
      <c r="D328" s="67" t="s">
        <v>692</v>
      </c>
      <c r="E328" s="67" t="b">
        <v>0</v>
      </c>
      <c r="F328" s="67" t="b">
        <v>0</v>
      </c>
      <c r="G328" s="67" t="b">
        <v>0</v>
      </c>
    </row>
    <row r="329" spans="1:7" ht="15">
      <c r="A329" s="136" t="s">
        <v>2181</v>
      </c>
      <c r="B329" s="67">
        <v>2</v>
      </c>
      <c r="C329" s="139">
        <v>0.007726656880506181</v>
      </c>
      <c r="D329" s="67" t="s">
        <v>692</v>
      </c>
      <c r="E329" s="67" t="b">
        <v>0</v>
      </c>
      <c r="F329" s="67" t="b">
        <v>0</v>
      </c>
      <c r="G329" s="67" t="b">
        <v>0</v>
      </c>
    </row>
    <row r="330" spans="1:7" ht="15">
      <c r="A330" s="136" t="s">
        <v>2097</v>
      </c>
      <c r="B330" s="67">
        <v>2</v>
      </c>
      <c r="C330" s="139">
        <v>0.007726656880506181</v>
      </c>
      <c r="D330" s="67" t="s">
        <v>692</v>
      </c>
      <c r="E330" s="67" t="b">
        <v>0</v>
      </c>
      <c r="F330" s="67" t="b">
        <v>0</v>
      </c>
      <c r="G330" s="67" t="b">
        <v>0</v>
      </c>
    </row>
    <row r="331" spans="1:7" ht="15">
      <c r="A331" s="136" t="s">
        <v>2178</v>
      </c>
      <c r="B331" s="67">
        <v>2</v>
      </c>
      <c r="C331" s="139">
        <v>0.007726656880506181</v>
      </c>
      <c r="D331" s="67" t="s">
        <v>692</v>
      </c>
      <c r="E331" s="67" t="b">
        <v>0</v>
      </c>
      <c r="F331" s="67" t="b">
        <v>0</v>
      </c>
      <c r="G331" s="67" t="b">
        <v>0</v>
      </c>
    </row>
    <row r="332" spans="1:7" ht="15">
      <c r="A332" s="136" t="s">
        <v>2208</v>
      </c>
      <c r="B332" s="67">
        <v>2</v>
      </c>
      <c r="C332" s="139">
        <v>0.007726656880506181</v>
      </c>
      <c r="D332" s="67" t="s">
        <v>692</v>
      </c>
      <c r="E332" s="67" t="b">
        <v>0</v>
      </c>
      <c r="F332" s="67" t="b">
        <v>0</v>
      </c>
      <c r="G332" s="67" t="b">
        <v>0</v>
      </c>
    </row>
    <row r="333" spans="1:7" ht="15">
      <c r="A333" s="136" t="s">
        <v>2101</v>
      </c>
      <c r="B333" s="67">
        <v>2</v>
      </c>
      <c r="C333" s="139">
        <v>0.007726656880506181</v>
      </c>
      <c r="D333" s="67" t="s">
        <v>692</v>
      </c>
      <c r="E333" s="67" t="b">
        <v>0</v>
      </c>
      <c r="F333" s="67" t="b">
        <v>0</v>
      </c>
      <c r="G333" s="67" t="b">
        <v>0</v>
      </c>
    </row>
    <row r="334" spans="1:7" ht="15">
      <c r="A334" s="136" t="s">
        <v>2206</v>
      </c>
      <c r="B334" s="67">
        <v>2</v>
      </c>
      <c r="C334" s="139">
        <v>0.007726656880506181</v>
      </c>
      <c r="D334" s="67" t="s">
        <v>692</v>
      </c>
      <c r="E334" s="67" t="b">
        <v>0</v>
      </c>
      <c r="F334" s="67" t="b">
        <v>0</v>
      </c>
      <c r="G334" s="67" t="b">
        <v>0</v>
      </c>
    </row>
    <row r="335" spans="1:7" ht="15">
      <c r="A335" s="136" t="s">
        <v>2118</v>
      </c>
      <c r="B335" s="67">
        <v>2</v>
      </c>
      <c r="C335" s="139">
        <v>0.007726656880506181</v>
      </c>
      <c r="D335" s="67" t="s">
        <v>692</v>
      </c>
      <c r="E335" s="67" t="b">
        <v>0</v>
      </c>
      <c r="F335" s="67" t="b">
        <v>0</v>
      </c>
      <c r="G335" s="67" t="b">
        <v>0</v>
      </c>
    </row>
    <row r="336" spans="1:7" ht="15">
      <c r="A336" s="136" t="s">
        <v>2071</v>
      </c>
      <c r="B336" s="67">
        <v>2</v>
      </c>
      <c r="C336" s="139">
        <v>0.007726656880506181</v>
      </c>
      <c r="D336" s="67" t="s">
        <v>692</v>
      </c>
      <c r="E336" s="67" t="b">
        <v>0</v>
      </c>
      <c r="F336" s="67" t="b">
        <v>0</v>
      </c>
      <c r="G336" s="67" t="b">
        <v>0</v>
      </c>
    </row>
    <row r="337" spans="1:7" ht="15">
      <c r="A337" s="136" t="s">
        <v>2213</v>
      </c>
      <c r="B337" s="67">
        <v>2</v>
      </c>
      <c r="C337" s="139">
        <v>0.007726656880506181</v>
      </c>
      <c r="D337" s="67" t="s">
        <v>692</v>
      </c>
      <c r="E337" s="67" t="b">
        <v>0</v>
      </c>
      <c r="F337" s="67" t="b">
        <v>0</v>
      </c>
      <c r="G337" s="67" t="b">
        <v>0</v>
      </c>
    </row>
    <row r="338" spans="1:7" ht="15">
      <c r="A338" s="136" t="s">
        <v>2194</v>
      </c>
      <c r="B338" s="67">
        <v>2</v>
      </c>
      <c r="C338" s="139">
        <v>0.007726656880506181</v>
      </c>
      <c r="D338" s="67" t="s">
        <v>692</v>
      </c>
      <c r="E338" s="67" t="b">
        <v>0</v>
      </c>
      <c r="F338" s="67" t="b">
        <v>0</v>
      </c>
      <c r="G338" s="67" t="b">
        <v>0</v>
      </c>
    </row>
    <row r="339" spans="1:7" ht="15">
      <c r="A339" s="136" t="s">
        <v>2162</v>
      </c>
      <c r="B339" s="67">
        <v>2</v>
      </c>
      <c r="C339" s="139">
        <v>0.007726656880506181</v>
      </c>
      <c r="D339" s="67" t="s">
        <v>692</v>
      </c>
      <c r="E339" s="67" t="b">
        <v>0</v>
      </c>
      <c r="F339" s="67" t="b">
        <v>0</v>
      </c>
      <c r="G339" s="67" t="b">
        <v>0</v>
      </c>
    </row>
    <row r="340" spans="1:7" ht="15">
      <c r="A340" s="136" t="s">
        <v>2152</v>
      </c>
      <c r="B340" s="67">
        <v>2</v>
      </c>
      <c r="C340" s="139">
        <v>0.007726656880506181</v>
      </c>
      <c r="D340" s="67" t="s">
        <v>692</v>
      </c>
      <c r="E340" s="67" t="b">
        <v>0</v>
      </c>
      <c r="F340" s="67" t="b">
        <v>0</v>
      </c>
      <c r="G340" s="67" t="b">
        <v>0</v>
      </c>
    </row>
    <row r="341" spans="1:7" ht="15">
      <c r="A341" s="136" t="s">
        <v>2226</v>
      </c>
      <c r="B341" s="67">
        <v>2</v>
      </c>
      <c r="C341" s="139">
        <v>0.007726656880506181</v>
      </c>
      <c r="D341" s="67" t="s">
        <v>692</v>
      </c>
      <c r="E341" s="67" t="b">
        <v>0</v>
      </c>
      <c r="F341" s="67" t="b">
        <v>0</v>
      </c>
      <c r="G341" s="67" t="b">
        <v>0</v>
      </c>
    </row>
    <row r="342" spans="1:7" ht="15">
      <c r="A342" s="136" t="s">
        <v>2232</v>
      </c>
      <c r="B342" s="67">
        <v>2</v>
      </c>
      <c r="C342" s="139">
        <v>0.007726656880506181</v>
      </c>
      <c r="D342" s="67" t="s">
        <v>692</v>
      </c>
      <c r="E342" s="67" t="b">
        <v>0</v>
      </c>
      <c r="F342" s="67" t="b">
        <v>0</v>
      </c>
      <c r="G342" s="67" t="b">
        <v>0</v>
      </c>
    </row>
    <row r="343" spans="1:7" ht="15">
      <c r="A343" s="136" t="s">
        <v>928</v>
      </c>
      <c r="B343" s="67">
        <v>2</v>
      </c>
      <c r="C343" s="139">
        <v>0.007726656880506181</v>
      </c>
      <c r="D343" s="67" t="s">
        <v>692</v>
      </c>
      <c r="E343" s="67" t="b">
        <v>0</v>
      </c>
      <c r="F343" s="67" t="b">
        <v>0</v>
      </c>
      <c r="G343" s="67" t="b">
        <v>0</v>
      </c>
    </row>
    <row r="344" spans="1:7" ht="15">
      <c r="A344" s="136" t="s">
        <v>2124</v>
      </c>
      <c r="B344" s="67">
        <v>2</v>
      </c>
      <c r="C344" s="139">
        <v>0.007726656880506181</v>
      </c>
      <c r="D344" s="67" t="s">
        <v>692</v>
      </c>
      <c r="E344" s="67" t="b">
        <v>0</v>
      </c>
      <c r="F344" s="67" t="b">
        <v>0</v>
      </c>
      <c r="G344" s="67" t="b">
        <v>0</v>
      </c>
    </row>
    <row r="345" spans="1:7" ht="15">
      <c r="A345" s="136" t="s">
        <v>2200</v>
      </c>
      <c r="B345" s="67">
        <v>2</v>
      </c>
      <c r="C345" s="139">
        <v>0.007726656880506181</v>
      </c>
      <c r="D345" s="67" t="s">
        <v>692</v>
      </c>
      <c r="E345" s="67" t="b">
        <v>0</v>
      </c>
      <c r="F345" s="67" t="b">
        <v>0</v>
      </c>
      <c r="G345" s="67" t="b">
        <v>0</v>
      </c>
    </row>
    <row r="346" spans="1:7" ht="15">
      <c r="A346" s="136" t="s">
        <v>2115</v>
      </c>
      <c r="B346" s="67">
        <v>2</v>
      </c>
      <c r="C346" s="139">
        <v>0.007726656880506181</v>
      </c>
      <c r="D346" s="67" t="s">
        <v>692</v>
      </c>
      <c r="E346" s="67" t="b">
        <v>0</v>
      </c>
      <c r="F346" s="67" t="b">
        <v>0</v>
      </c>
      <c r="G346" s="67" t="b">
        <v>0</v>
      </c>
    </row>
    <row r="347" spans="1:7" ht="15">
      <c r="A347" s="136" t="s">
        <v>2134</v>
      </c>
      <c r="B347" s="67">
        <v>2</v>
      </c>
      <c r="C347" s="139">
        <v>0.007726656880506181</v>
      </c>
      <c r="D347" s="67" t="s">
        <v>692</v>
      </c>
      <c r="E347" s="67" t="b">
        <v>0</v>
      </c>
      <c r="F347" s="67" t="b">
        <v>0</v>
      </c>
      <c r="G347" s="67" t="b">
        <v>0</v>
      </c>
    </row>
    <row r="348" spans="1:7" ht="15">
      <c r="A348" s="136" t="s">
        <v>2099</v>
      </c>
      <c r="B348" s="67">
        <v>2</v>
      </c>
      <c r="C348" s="139">
        <v>0.007726656880506181</v>
      </c>
      <c r="D348" s="67" t="s">
        <v>692</v>
      </c>
      <c r="E348" s="67" t="b">
        <v>0</v>
      </c>
      <c r="F348" s="67" t="b">
        <v>0</v>
      </c>
      <c r="G348" s="67" t="b">
        <v>0</v>
      </c>
    </row>
    <row r="349" spans="1:7" ht="15">
      <c r="A349" s="136" t="s">
        <v>2059</v>
      </c>
      <c r="B349" s="67">
        <v>2</v>
      </c>
      <c r="C349" s="139">
        <v>0.007726656880506181</v>
      </c>
      <c r="D349" s="67" t="s">
        <v>692</v>
      </c>
      <c r="E349" s="67" t="b">
        <v>0</v>
      </c>
      <c r="F349" s="67" t="b">
        <v>0</v>
      </c>
      <c r="G349" s="67" t="b">
        <v>0</v>
      </c>
    </row>
    <row r="350" spans="1:7" ht="15">
      <c r="A350" s="136" t="s">
        <v>2202</v>
      </c>
      <c r="B350" s="67">
        <v>2</v>
      </c>
      <c r="C350" s="139">
        <v>0.007726656880506181</v>
      </c>
      <c r="D350" s="67" t="s">
        <v>692</v>
      </c>
      <c r="E350" s="67" t="b">
        <v>0</v>
      </c>
      <c r="F350" s="67" t="b">
        <v>0</v>
      </c>
      <c r="G350" s="67" t="b">
        <v>0</v>
      </c>
    </row>
    <row r="351" spans="1:7" ht="15">
      <c r="A351" s="136" t="s">
        <v>2147</v>
      </c>
      <c r="B351" s="67">
        <v>2</v>
      </c>
      <c r="C351" s="139">
        <v>0.007726656880506181</v>
      </c>
      <c r="D351" s="67" t="s">
        <v>692</v>
      </c>
      <c r="E351" s="67" t="b">
        <v>0</v>
      </c>
      <c r="F351" s="67" t="b">
        <v>0</v>
      </c>
      <c r="G351" s="67" t="b">
        <v>0</v>
      </c>
    </row>
    <row r="352" spans="1:7" ht="15">
      <c r="A352" s="136" t="s">
        <v>2193</v>
      </c>
      <c r="B352" s="67">
        <v>2</v>
      </c>
      <c r="C352" s="139">
        <v>0.007726656880506181</v>
      </c>
      <c r="D352" s="67" t="s">
        <v>692</v>
      </c>
      <c r="E352" s="67" t="b">
        <v>0</v>
      </c>
      <c r="F352" s="67" t="b">
        <v>0</v>
      </c>
      <c r="G352" s="67" t="b">
        <v>0</v>
      </c>
    </row>
    <row r="353" spans="1:7" ht="15">
      <c r="A353" s="136" t="s">
        <v>2069</v>
      </c>
      <c r="B353" s="67">
        <v>2</v>
      </c>
      <c r="C353" s="139">
        <v>0.007726656880506181</v>
      </c>
      <c r="D353" s="67" t="s">
        <v>692</v>
      </c>
      <c r="E353" s="67" t="b">
        <v>0</v>
      </c>
      <c r="F353" s="67" t="b">
        <v>0</v>
      </c>
      <c r="G353" s="67" t="b">
        <v>0</v>
      </c>
    </row>
    <row r="354" spans="1:7" ht="15">
      <c r="A354" s="136" t="s">
        <v>2185</v>
      </c>
      <c r="B354" s="67">
        <v>2</v>
      </c>
      <c r="C354" s="139">
        <v>0.007726656880506181</v>
      </c>
      <c r="D354" s="67" t="s">
        <v>692</v>
      </c>
      <c r="E354" s="67" t="b">
        <v>0</v>
      </c>
      <c r="F354" s="67" t="b">
        <v>0</v>
      </c>
      <c r="G354" s="67" t="b">
        <v>0</v>
      </c>
    </row>
    <row r="355" spans="1:7" ht="15">
      <c r="A355" s="136" t="s">
        <v>2112</v>
      </c>
      <c r="B355" s="67">
        <v>2</v>
      </c>
      <c r="C355" s="139">
        <v>0.007726656880506181</v>
      </c>
      <c r="D355" s="67" t="s">
        <v>692</v>
      </c>
      <c r="E355" s="67" t="b">
        <v>0</v>
      </c>
      <c r="F355" s="67" t="b">
        <v>0</v>
      </c>
      <c r="G355" s="67" t="b">
        <v>0</v>
      </c>
    </row>
    <row r="356" spans="1:7" ht="15">
      <c r="A356" s="136" t="s">
        <v>2102</v>
      </c>
      <c r="B356" s="67">
        <v>2</v>
      </c>
      <c r="C356" s="139">
        <v>0.007726656880506181</v>
      </c>
      <c r="D356" s="67" t="s">
        <v>692</v>
      </c>
      <c r="E356" s="67" t="b">
        <v>0</v>
      </c>
      <c r="F356" s="67" t="b">
        <v>0</v>
      </c>
      <c r="G356" s="67" t="b">
        <v>0</v>
      </c>
    </row>
    <row r="357" spans="1:7" ht="15">
      <c r="A357" s="136" t="s">
        <v>2165</v>
      </c>
      <c r="B357" s="67">
        <v>2</v>
      </c>
      <c r="C357" s="139">
        <v>0.007726656880506181</v>
      </c>
      <c r="D357" s="67" t="s">
        <v>692</v>
      </c>
      <c r="E357" s="67" t="b">
        <v>0</v>
      </c>
      <c r="F357" s="67" t="b">
        <v>0</v>
      </c>
      <c r="G357" s="67" t="b">
        <v>0</v>
      </c>
    </row>
    <row r="358" spans="1:7" ht="15">
      <c r="A358" s="136" t="s">
        <v>2109</v>
      </c>
      <c r="B358" s="67">
        <v>2</v>
      </c>
      <c r="C358" s="139">
        <v>0.007726656880506181</v>
      </c>
      <c r="D358" s="67" t="s">
        <v>692</v>
      </c>
      <c r="E358" s="67" t="b">
        <v>0</v>
      </c>
      <c r="F358" s="67" t="b">
        <v>0</v>
      </c>
      <c r="G358" s="67" t="b">
        <v>0</v>
      </c>
    </row>
    <row r="359" spans="1:7" ht="15">
      <c r="A359" s="136" t="s">
        <v>2215</v>
      </c>
      <c r="B359" s="67">
        <v>2</v>
      </c>
      <c r="C359" s="139">
        <v>0.007726656880506181</v>
      </c>
      <c r="D359" s="67" t="s">
        <v>692</v>
      </c>
      <c r="E359" s="67" t="b">
        <v>0</v>
      </c>
      <c r="F359" s="67" t="b">
        <v>0</v>
      </c>
      <c r="G359" s="67" t="b">
        <v>0</v>
      </c>
    </row>
    <row r="360" spans="1:7" ht="15">
      <c r="A360" s="136" t="s">
        <v>2082</v>
      </c>
      <c r="B360" s="67">
        <v>2</v>
      </c>
      <c r="C360" s="139">
        <v>0.007726656880506181</v>
      </c>
      <c r="D360" s="67" t="s">
        <v>692</v>
      </c>
      <c r="E360" s="67" t="b">
        <v>0</v>
      </c>
      <c r="F360" s="67" t="b">
        <v>0</v>
      </c>
      <c r="G360" s="67" t="b">
        <v>0</v>
      </c>
    </row>
    <row r="361" spans="1:7" ht="15">
      <c r="A361" s="136" t="s">
        <v>2065</v>
      </c>
      <c r="B361" s="67">
        <v>2</v>
      </c>
      <c r="C361" s="139">
        <v>0.007726656880506181</v>
      </c>
      <c r="D361" s="67" t="s">
        <v>692</v>
      </c>
      <c r="E361" s="67" t="b">
        <v>0</v>
      </c>
      <c r="F361" s="67" t="b">
        <v>0</v>
      </c>
      <c r="G361" s="67" t="b">
        <v>0</v>
      </c>
    </row>
    <row r="362" spans="1:7" ht="15">
      <c r="A362" s="136" t="s">
        <v>2154</v>
      </c>
      <c r="B362" s="67">
        <v>2</v>
      </c>
      <c r="C362" s="139">
        <v>0.007726656880506181</v>
      </c>
      <c r="D362" s="67" t="s">
        <v>692</v>
      </c>
      <c r="E362" s="67" t="b">
        <v>0</v>
      </c>
      <c r="F362" s="67" t="b">
        <v>0</v>
      </c>
      <c r="G362" s="67" t="b">
        <v>0</v>
      </c>
    </row>
    <row r="363" spans="1:7" ht="15">
      <c r="A363" s="136" t="s">
        <v>2190</v>
      </c>
      <c r="B363" s="67">
        <v>2</v>
      </c>
      <c r="C363" s="139">
        <v>0.007726656880506181</v>
      </c>
      <c r="D363" s="67" t="s">
        <v>692</v>
      </c>
      <c r="E363" s="67" t="b">
        <v>0</v>
      </c>
      <c r="F363" s="67" t="b">
        <v>0</v>
      </c>
      <c r="G363" s="67" t="b">
        <v>0</v>
      </c>
    </row>
    <row r="364" spans="1:7" ht="15">
      <c r="A364" s="136" t="s">
        <v>2191</v>
      </c>
      <c r="B364" s="67">
        <v>2</v>
      </c>
      <c r="C364" s="139">
        <v>0.007726656880506181</v>
      </c>
      <c r="D364" s="67" t="s">
        <v>692</v>
      </c>
      <c r="E364" s="67" t="b">
        <v>0</v>
      </c>
      <c r="F364" s="67" t="b">
        <v>0</v>
      </c>
      <c r="G364" s="67" t="b">
        <v>0</v>
      </c>
    </row>
    <row r="365" spans="1:7" ht="15">
      <c r="A365" s="136" t="s">
        <v>2197</v>
      </c>
      <c r="B365" s="67">
        <v>2</v>
      </c>
      <c r="C365" s="139">
        <v>0.007726656880506181</v>
      </c>
      <c r="D365" s="67" t="s">
        <v>692</v>
      </c>
      <c r="E365" s="67" t="b">
        <v>0</v>
      </c>
      <c r="F365" s="67" t="b">
        <v>0</v>
      </c>
      <c r="G365" s="67" t="b">
        <v>0</v>
      </c>
    </row>
    <row r="366" spans="1:7" ht="15">
      <c r="A366" s="136" t="s">
        <v>2159</v>
      </c>
      <c r="B366" s="67">
        <v>2</v>
      </c>
      <c r="C366" s="139">
        <v>0.007726656880506181</v>
      </c>
      <c r="D366" s="67" t="s">
        <v>692</v>
      </c>
      <c r="E366" s="67" t="b">
        <v>0</v>
      </c>
      <c r="F366" s="67" t="b">
        <v>0</v>
      </c>
      <c r="G366" s="67" t="b">
        <v>0</v>
      </c>
    </row>
    <row r="367" spans="1:7" ht="15">
      <c r="A367" s="136" t="s">
        <v>927</v>
      </c>
      <c r="B367" s="67">
        <v>2</v>
      </c>
      <c r="C367" s="139">
        <v>0.007726656880506181</v>
      </c>
      <c r="D367" s="67" t="s">
        <v>692</v>
      </c>
      <c r="E367" s="67" t="b">
        <v>0</v>
      </c>
      <c r="F367" s="67" t="b">
        <v>0</v>
      </c>
      <c r="G367" s="67" t="b">
        <v>0</v>
      </c>
    </row>
    <row r="368" spans="1:7" ht="15">
      <c r="A368" s="136" t="s">
        <v>2189</v>
      </c>
      <c r="B368" s="67">
        <v>2</v>
      </c>
      <c r="C368" s="139">
        <v>0.007726656880506181</v>
      </c>
      <c r="D368" s="67" t="s">
        <v>692</v>
      </c>
      <c r="E368" s="67" t="b">
        <v>0</v>
      </c>
      <c r="F368" s="67" t="b">
        <v>0</v>
      </c>
      <c r="G368" s="67" t="b">
        <v>0</v>
      </c>
    </row>
    <row r="369" spans="1:7" ht="15">
      <c r="A369" s="136" t="s">
        <v>2114</v>
      </c>
      <c r="B369" s="67">
        <v>2</v>
      </c>
      <c r="C369" s="139">
        <v>0.007726656880506181</v>
      </c>
      <c r="D369" s="67" t="s">
        <v>692</v>
      </c>
      <c r="E369" s="67" t="b">
        <v>0</v>
      </c>
      <c r="F369" s="67" t="b">
        <v>0</v>
      </c>
      <c r="G369" s="67" t="b">
        <v>0</v>
      </c>
    </row>
    <row r="370" spans="1:7" ht="15">
      <c r="A370" s="136" t="s">
        <v>2148</v>
      </c>
      <c r="B370" s="67">
        <v>2</v>
      </c>
      <c r="C370" s="139">
        <v>0.007726656880506181</v>
      </c>
      <c r="D370" s="67" t="s">
        <v>692</v>
      </c>
      <c r="E370" s="67" t="b">
        <v>0</v>
      </c>
      <c r="F370" s="67" t="b">
        <v>0</v>
      </c>
      <c r="G370" s="67" t="b">
        <v>0</v>
      </c>
    </row>
    <row r="371" spans="1:7" ht="15">
      <c r="A371" s="136" t="s">
        <v>2228</v>
      </c>
      <c r="B371" s="67">
        <v>2</v>
      </c>
      <c r="C371" s="139">
        <v>0.007726656880506181</v>
      </c>
      <c r="D371" s="67" t="s">
        <v>692</v>
      </c>
      <c r="E371" s="67" t="b">
        <v>0</v>
      </c>
      <c r="F371" s="67" t="b">
        <v>0</v>
      </c>
      <c r="G371" s="67" t="b">
        <v>0</v>
      </c>
    </row>
    <row r="372" spans="1:7" ht="15">
      <c r="A372" s="136" t="s">
        <v>2182</v>
      </c>
      <c r="B372" s="67">
        <v>2</v>
      </c>
      <c r="C372" s="139">
        <v>0.007726656880506181</v>
      </c>
      <c r="D372" s="67" t="s">
        <v>692</v>
      </c>
      <c r="E372" s="67" t="b">
        <v>0</v>
      </c>
      <c r="F372" s="67" t="b">
        <v>0</v>
      </c>
      <c r="G372" s="67" t="b">
        <v>0</v>
      </c>
    </row>
    <row r="373" spans="1:7" ht="15">
      <c r="A373" s="136" t="s">
        <v>2233</v>
      </c>
      <c r="B373" s="67">
        <v>2</v>
      </c>
      <c r="C373" s="139">
        <v>0.007726656880506181</v>
      </c>
      <c r="D373" s="67" t="s">
        <v>692</v>
      </c>
      <c r="E373" s="67" t="b">
        <v>0</v>
      </c>
      <c r="F373" s="67" t="b">
        <v>0</v>
      </c>
      <c r="G373" s="67" t="b">
        <v>0</v>
      </c>
    </row>
    <row r="374" spans="1:7" ht="15">
      <c r="A374" s="136" t="s">
        <v>2195</v>
      </c>
      <c r="B374" s="67">
        <v>2</v>
      </c>
      <c r="C374" s="139">
        <v>0.007726656880506181</v>
      </c>
      <c r="D374" s="67" t="s">
        <v>692</v>
      </c>
      <c r="E374" s="67" t="b">
        <v>0</v>
      </c>
      <c r="F374" s="67" t="b">
        <v>0</v>
      </c>
      <c r="G374" s="67" t="b">
        <v>0</v>
      </c>
    </row>
    <row r="375" spans="1:7" ht="15">
      <c r="A375" s="136" t="s">
        <v>2222</v>
      </c>
      <c r="B375" s="67">
        <v>2</v>
      </c>
      <c r="C375" s="139">
        <v>0.007726656880506181</v>
      </c>
      <c r="D375" s="67" t="s">
        <v>692</v>
      </c>
      <c r="E375" s="67" t="b">
        <v>0</v>
      </c>
      <c r="F375" s="67" t="b">
        <v>0</v>
      </c>
      <c r="G375" s="67" t="b">
        <v>0</v>
      </c>
    </row>
    <row r="376" spans="1:7" ht="15">
      <c r="A376" s="136" t="s">
        <v>2205</v>
      </c>
      <c r="B376" s="67">
        <v>2</v>
      </c>
      <c r="C376" s="139">
        <v>0.007726656880506181</v>
      </c>
      <c r="D376" s="67" t="s">
        <v>692</v>
      </c>
      <c r="E376" s="67" t="b">
        <v>0</v>
      </c>
      <c r="F376" s="67" t="b">
        <v>0</v>
      </c>
      <c r="G376" s="67" t="b">
        <v>0</v>
      </c>
    </row>
    <row r="377" spans="1:7" ht="15">
      <c r="A377" s="136" t="s">
        <v>2073</v>
      </c>
      <c r="B377" s="67">
        <v>2</v>
      </c>
      <c r="C377" s="139">
        <v>0.007726656880506181</v>
      </c>
      <c r="D377" s="67" t="s">
        <v>692</v>
      </c>
      <c r="E377" s="67" t="b">
        <v>0</v>
      </c>
      <c r="F377" s="67" t="b">
        <v>0</v>
      </c>
      <c r="G377" s="67" t="b">
        <v>0</v>
      </c>
    </row>
    <row r="378" spans="1:7" ht="15">
      <c r="A378" s="136" t="s">
        <v>2150</v>
      </c>
      <c r="B378" s="67">
        <v>2</v>
      </c>
      <c r="C378" s="139">
        <v>0.007726656880506181</v>
      </c>
      <c r="D378" s="67" t="s">
        <v>692</v>
      </c>
      <c r="E378" s="67" t="b">
        <v>0</v>
      </c>
      <c r="F378" s="67" t="b">
        <v>0</v>
      </c>
      <c r="G378" s="67" t="b">
        <v>0</v>
      </c>
    </row>
    <row r="379" spans="1:7" ht="15">
      <c r="A379" s="136" t="s">
        <v>2137</v>
      </c>
      <c r="B379" s="67">
        <v>2</v>
      </c>
      <c r="C379" s="139">
        <v>0.007726656880506181</v>
      </c>
      <c r="D379" s="67" t="s">
        <v>692</v>
      </c>
      <c r="E379" s="67" t="b">
        <v>0</v>
      </c>
      <c r="F379" s="67" t="b">
        <v>0</v>
      </c>
      <c r="G379" s="67" t="b">
        <v>0</v>
      </c>
    </row>
    <row r="380" spans="1:7" ht="15">
      <c r="A380" s="136" t="s">
        <v>2225</v>
      </c>
      <c r="B380" s="67">
        <v>2</v>
      </c>
      <c r="C380" s="139">
        <v>0.007726656880506181</v>
      </c>
      <c r="D380" s="67" t="s">
        <v>692</v>
      </c>
      <c r="E380" s="67" t="b">
        <v>0</v>
      </c>
      <c r="F380" s="67" t="b">
        <v>0</v>
      </c>
      <c r="G380" s="67" t="b">
        <v>0</v>
      </c>
    </row>
    <row r="381" spans="1:7" ht="15">
      <c r="A381" s="136" t="s">
        <v>2092</v>
      </c>
      <c r="B381" s="67">
        <v>2</v>
      </c>
      <c r="C381" s="139">
        <v>0.007726656880506181</v>
      </c>
      <c r="D381" s="67" t="s">
        <v>692</v>
      </c>
      <c r="E381" s="67" t="b">
        <v>0</v>
      </c>
      <c r="F381" s="67" t="b">
        <v>0</v>
      </c>
      <c r="G381" s="67" t="b">
        <v>0</v>
      </c>
    </row>
    <row r="382" spans="1:7" ht="15">
      <c r="A382" s="136" t="s">
        <v>924</v>
      </c>
      <c r="B382" s="67">
        <v>2</v>
      </c>
      <c r="C382" s="139">
        <v>0.007726656880506181</v>
      </c>
      <c r="D382" s="67" t="s">
        <v>692</v>
      </c>
      <c r="E382" s="67" t="b">
        <v>0</v>
      </c>
      <c r="F382" s="67" t="b">
        <v>0</v>
      </c>
      <c r="G382" s="67" t="b">
        <v>0</v>
      </c>
    </row>
    <row r="383" spans="1:7" ht="15">
      <c r="A383" s="136" t="s">
        <v>2072</v>
      </c>
      <c r="B383" s="67">
        <v>2</v>
      </c>
      <c r="C383" s="139">
        <v>0.007726656880506181</v>
      </c>
      <c r="D383" s="67" t="s">
        <v>692</v>
      </c>
      <c r="E383" s="67" t="b">
        <v>0</v>
      </c>
      <c r="F383" s="67" t="b">
        <v>0</v>
      </c>
      <c r="G383" s="67" t="b">
        <v>0</v>
      </c>
    </row>
    <row r="384" spans="1:7" ht="15">
      <c r="A384" s="136" t="s">
        <v>2184</v>
      </c>
      <c r="B384" s="67">
        <v>2</v>
      </c>
      <c r="C384" s="139">
        <v>0.007726656880506181</v>
      </c>
      <c r="D384" s="67" t="s">
        <v>692</v>
      </c>
      <c r="E384" s="67" t="b">
        <v>0</v>
      </c>
      <c r="F384" s="67" t="b">
        <v>0</v>
      </c>
      <c r="G384" s="67" t="b">
        <v>0</v>
      </c>
    </row>
    <row r="385" spans="1:7" ht="15">
      <c r="A385" s="136" t="s">
        <v>2075</v>
      </c>
      <c r="B385" s="67">
        <v>2</v>
      </c>
      <c r="C385" s="139">
        <v>0.007726656880506181</v>
      </c>
      <c r="D385" s="67" t="s">
        <v>692</v>
      </c>
      <c r="E385" s="67" t="b">
        <v>0</v>
      </c>
      <c r="F385" s="67" t="b">
        <v>0</v>
      </c>
      <c r="G385" s="67" t="b">
        <v>0</v>
      </c>
    </row>
    <row r="386" spans="1:7" ht="15">
      <c r="A386" s="136" t="s">
        <v>2211</v>
      </c>
      <c r="B386" s="67">
        <v>2</v>
      </c>
      <c r="C386" s="139">
        <v>0.007726656880506181</v>
      </c>
      <c r="D386" s="67" t="s">
        <v>692</v>
      </c>
      <c r="E386" s="67" t="b">
        <v>0</v>
      </c>
      <c r="F386" s="67" t="b">
        <v>0</v>
      </c>
      <c r="G386" s="67" t="b">
        <v>0</v>
      </c>
    </row>
    <row r="387" spans="1:7" ht="15">
      <c r="A387" s="136" t="s">
        <v>2188</v>
      </c>
      <c r="B387" s="67">
        <v>2</v>
      </c>
      <c r="C387" s="139">
        <v>0.007726656880506181</v>
      </c>
      <c r="D387" s="67" t="s">
        <v>692</v>
      </c>
      <c r="E387" s="67" t="b">
        <v>0</v>
      </c>
      <c r="F387" s="67" t="b">
        <v>0</v>
      </c>
      <c r="G387" s="67" t="b">
        <v>0</v>
      </c>
    </row>
    <row r="388" spans="1:7" ht="15">
      <c r="A388" s="136" t="s">
        <v>2169</v>
      </c>
      <c r="B388" s="67">
        <v>2</v>
      </c>
      <c r="C388" s="139">
        <v>0.007726656880506181</v>
      </c>
      <c r="D388" s="67" t="s">
        <v>692</v>
      </c>
      <c r="E388" s="67" t="b">
        <v>0</v>
      </c>
      <c r="F388" s="67" t="b">
        <v>0</v>
      </c>
      <c r="G388" s="67" t="b">
        <v>0</v>
      </c>
    </row>
    <row r="389" spans="1:7" ht="15">
      <c r="A389" s="136" t="s">
        <v>2220</v>
      </c>
      <c r="B389" s="67">
        <v>2</v>
      </c>
      <c r="C389" s="139">
        <v>0.007726656880506181</v>
      </c>
      <c r="D389" s="67" t="s">
        <v>692</v>
      </c>
      <c r="E389" s="67" t="b">
        <v>0</v>
      </c>
      <c r="F389" s="67" t="b">
        <v>0</v>
      </c>
      <c r="G389" s="67" t="b">
        <v>0</v>
      </c>
    </row>
    <row r="390" spans="1:7" ht="15">
      <c r="A390" s="136" t="s">
        <v>2174</v>
      </c>
      <c r="B390" s="67">
        <v>2</v>
      </c>
      <c r="C390" s="139">
        <v>0.007726656880506181</v>
      </c>
      <c r="D390" s="67" t="s">
        <v>692</v>
      </c>
      <c r="E390" s="67" t="b">
        <v>0</v>
      </c>
      <c r="F390" s="67" t="b">
        <v>0</v>
      </c>
      <c r="G390" s="67" t="b">
        <v>0</v>
      </c>
    </row>
    <row r="391" spans="1:7" ht="15">
      <c r="A391" s="136" t="s">
        <v>922</v>
      </c>
      <c r="B391" s="67">
        <v>2</v>
      </c>
      <c r="C391" s="139">
        <v>0.007726656880506181</v>
      </c>
      <c r="D391" s="67" t="s">
        <v>692</v>
      </c>
      <c r="E391" s="67" t="b">
        <v>0</v>
      </c>
      <c r="F391" s="67" t="b">
        <v>0</v>
      </c>
      <c r="G391" s="67" t="b">
        <v>0</v>
      </c>
    </row>
    <row r="392" spans="1:7" ht="15">
      <c r="A392" s="136" t="s">
        <v>963</v>
      </c>
      <c r="B392" s="67">
        <v>11</v>
      </c>
      <c r="C392" s="139">
        <v>0.008210597716165544</v>
      </c>
      <c r="D392" s="67" t="s">
        <v>693</v>
      </c>
      <c r="E392" s="67" t="b">
        <v>0</v>
      </c>
      <c r="F392" s="67" t="b">
        <v>0</v>
      </c>
      <c r="G392" s="67" t="b">
        <v>0</v>
      </c>
    </row>
    <row r="393" spans="1:7" ht="15">
      <c r="A393" s="136" t="s">
        <v>1803</v>
      </c>
      <c r="B393" s="67">
        <v>8</v>
      </c>
      <c r="C393" s="139">
        <v>0.009450656954990828</v>
      </c>
      <c r="D393" s="67" t="s">
        <v>693</v>
      </c>
      <c r="E393" s="67" t="b">
        <v>0</v>
      </c>
      <c r="F393" s="67" t="b">
        <v>0</v>
      </c>
      <c r="G393" s="67" t="b">
        <v>0</v>
      </c>
    </row>
    <row r="394" spans="1:7" ht="15">
      <c r="A394" s="136" t="s">
        <v>1805</v>
      </c>
      <c r="B394" s="67">
        <v>6</v>
      </c>
      <c r="C394" s="139">
        <v>0.009445327369229912</v>
      </c>
      <c r="D394" s="67" t="s">
        <v>693</v>
      </c>
      <c r="E394" s="67" t="b">
        <v>0</v>
      </c>
      <c r="F394" s="67" t="b">
        <v>0</v>
      </c>
      <c r="G394" s="67" t="b">
        <v>0</v>
      </c>
    </row>
    <row r="395" spans="1:7" ht="15">
      <c r="A395" s="136" t="s">
        <v>1800</v>
      </c>
      <c r="B395" s="67">
        <v>5</v>
      </c>
      <c r="C395" s="139">
        <v>0.009116094286427833</v>
      </c>
      <c r="D395" s="67" t="s">
        <v>693</v>
      </c>
      <c r="E395" s="67" t="b">
        <v>0</v>
      </c>
      <c r="F395" s="67" t="b">
        <v>0</v>
      </c>
      <c r="G395" s="67" t="b">
        <v>0</v>
      </c>
    </row>
    <row r="396" spans="1:7" ht="15">
      <c r="A396" s="136" t="s">
        <v>1810</v>
      </c>
      <c r="B396" s="67">
        <v>3</v>
      </c>
      <c r="C396" s="139">
        <v>0.007562569304086476</v>
      </c>
      <c r="D396" s="67" t="s">
        <v>693</v>
      </c>
      <c r="E396" s="67" t="b">
        <v>0</v>
      </c>
      <c r="F396" s="67" t="b">
        <v>0</v>
      </c>
      <c r="G396" s="67" t="b">
        <v>0</v>
      </c>
    </row>
    <row r="397" spans="1:7" ht="15">
      <c r="A397" s="136" t="s">
        <v>1811</v>
      </c>
      <c r="B397" s="67">
        <v>3</v>
      </c>
      <c r="C397" s="139">
        <v>0.007562569304086476</v>
      </c>
      <c r="D397" s="67" t="s">
        <v>693</v>
      </c>
      <c r="E397" s="67" t="b">
        <v>0</v>
      </c>
      <c r="F397" s="67" t="b">
        <v>0</v>
      </c>
      <c r="G397" s="67" t="b">
        <v>0</v>
      </c>
    </row>
    <row r="398" spans="1:7" ht="15">
      <c r="A398" s="136" t="s">
        <v>1812</v>
      </c>
      <c r="B398" s="67">
        <v>3</v>
      </c>
      <c r="C398" s="139">
        <v>0.007562569304086476</v>
      </c>
      <c r="D398" s="67" t="s">
        <v>693</v>
      </c>
      <c r="E398" s="67" t="b">
        <v>0</v>
      </c>
      <c r="F398" s="67" t="b">
        <v>0</v>
      </c>
      <c r="G398" s="67" t="b">
        <v>0</v>
      </c>
    </row>
    <row r="399" spans="1:7" ht="15">
      <c r="A399" s="136" t="s">
        <v>1813</v>
      </c>
      <c r="B399" s="67">
        <v>3</v>
      </c>
      <c r="C399" s="139">
        <v>0.007562569304086476</v>
      </c>
      <c r="D399" s="67" t="s">
        <v>693</v>
      </c>
      <c r="E399" s="67" t="b">
        <v>0</v>
      </c>
      <c r="F399" s="67" t="b">
        <v>0</v>
      </c>
      <c r="G399" s="67" t="b">
        <v>0</v>
      </c>
    </row>
    <row r="400" spans="1:7" ht="15">
      <c r="A400" s="136" t="s">
        <v>1814</v>
      </c>
      <c r="B400" s="67">
        <v>3</v>
      </c>
      <c r="C400" s="139">
        <v>0.009223807597064601</v>
      </c>
      <c r="D400" s="67" t="s">
        <v>693</v>
      </c>
      <c r="E400" s="67" t="b">
        <v>0</v>
      </c>
      <c r="F400" s="67" t="b">
        <v>0</v>
      </c>
      <c r="G400" s="67" t="b">
        <v>0</v>
      </c>
    </row>
    <row r="401" spans="1:7" ht="15">
      <c r="A401" s="136" t="s">
        <v>1815</v>
      </c>
      <c r="B401" s="67">
        <v>2</v>
      </c>
      <c r="C401" s="139">
        <v>0.006149205064709735</v>
      </c>
      <c r="D401" s="67" t="s">
        <v>693</v>
      </c>
      <c r="E401" s="67" t="b">
        <v>0</v>
      </c>
      <c r="F401" s="67" t="b">
        <v>0</v>
      </c>
      <c r="G401" s="67" t="b">
        <v>0</v>
      </c>
    </row>
    <row r="402" spans="1:7" ht="15">
      <c r="A402" s="136" t="s">
        <v>2163</v>
      </c>
      <c r="B402" s="67">
        <v>2</v>
      </c>
      <c r="C402" s="139">
        <v>0.006149205064709735</v>
      </c>
      <c r="D402" s="67" t="s">
        <v>693</v>
      </c>
      <c r="E402" s="67" t="b">
        <v>0</v>
      </c>
      <c r="F402" s="67" t="b">
        <v>0</v>
      </c>
      <c r="G402" s="67" t="b">
        <v>0</v>
      </c>
    </row>
    <row r="403" spans="1:7" ht="15">
      <c r="A403" s="136" t="s">
        <v>954</v>
      </c>
      <c r="B403" s="67">
        <v>2</v>
      </c>
      <c r="C403" s="139">
        <v>0.006149205064709735</v>
      </c>
      <c r="D403" s="67" t="s">
        <v>693</v>
      </c>
      <c r="E403" s="67" t="b">
        <v>0</v>
      </c>
      <c r="F403" s="67" t="b">
        <v>0</v>
      </c>
      <c r="G403" s="67" t="b">
        <v>0</v>
      </c>
    </row>
    <row r="404" spans="1:7" ht="15">
      <c r="A404" s="136" t="s">
        <v>333</v>
      </c>
      <c r="B404" s="67">
        <v>2</v>
      </c>
      <c r="C404" s="139">
        <v>0.006149205064709735</v>
      </c>
      <c r="D404" s="67" t="s">
        <v>693</v>
      </c>
      <c r="E404" s="67" t="b">
        <v>0</v>
      </c>
      <c r="F404" s="67" t="b">
        <v>0</v>
      </c>
      <c r="G404" s="67" t="b">
        <v>0</v>
      </c>
    </row>
    <row r="405" spans="1:7" ht="15">
      <c r="A405" s="136" t="s">
        <v>2106</v>
      </c>
      <c r="B405" s="67">
        <v>2</v>
      </c>
      <c r="C405" s="139">
        <v>0.006149205064709735</v>
      </c>
      <c r="D405" s="67" t="s">
        <v>693</v>
      </c>
      <c r="E405" s="67" t="b">
        <v>0</v>
      </c>
      <c r="F405" s="67" t="b">
        <v>0</v>
      </c>
      <c r="G405" s="67" t="b">
        <v>0</v>
      </c>
    </row>
    <row r="406" spans="1:7" ht="15">
      <c r="A406" s="136" t="s">
        <v>2061</v>
      </c>
      <c r="B406" s="67">
        <v>2</v>
      </c>
      <c r="C406" s="139">
        <v>0.006149205064709735</v>
      </c>
      <c r="D406" s="67" t="s">
        <v>693</v>
      </c>
      <c r="E406" s="67" t="b">
        <v>0</v>
      </c>
      <c r="F406" s="67" t="b">
        <v>0</v>
      </c>
      <c r="G406" s="67" t="b">
        <v>0</v>
      </c>
    </row>
    <row r="407" spans="1:7" ht="15">
      <c r="A407" s="136" t="s">
        <v>2156</v>
      </c>
      <c r="B407" s="67">
        <v>2</v>
      </c>
      <c r="C407" s="139">
        <v>0.008042475477690748</v>
      </c>
      <c r="D407" s="67" t="s">
        <v>693</v>
      </c>
      <c r="E407" s="67" t="b">
        <v>0</v>
      </c>
      <c r="F407" s="67" t="b">
        <v>0</v>
      </c>
      <c r="G407" s="67" t="b">
        <v>0</v>
      </c>
    </row>
    <row r="408" spans="1:7" ht="15">
      <c r="A408" s="136" t="s">
        <v>2103</v>
      </c>
      <c r="B408" s="67">
        <v>2</v>
      </c>
      <c r="C408" s="139">
        <v>0.006149205064709735</v>
      </c>
      <c r="D408" s="67" t="s">
        <v>693</v>
      </c>
      <c r="E408" s="67" t="b">
        <v>0</v>
      </c>
      <c r="F408" s="67" t="b">
        <v>0</v>
      </c>
      <c r="G408" s="67" t="b">
        <v>0</v>
      </c>
    </row>
    <row r="409" spans="1:7" ht="15">
      <c r="A409" s="136" t="s">
        <v>2216</v>
      </c>
      <c r="B409" s="67">
        <v>2</v>
      </c>
      <c r="C409" s="139">
        <v>0.006149205064709735</v>
      </c>
      <c r="D409" s="67" t="s">
        <v>693</v>
      </c>
      <c r="E409" s="67" t="b">
        <v>0</v>
      </c>
      <c r="F409" s="67" t="b">
        <v>0</v>
      </c>
      <c r="G409" s="67" t="b">
        <v>0</v>
      </c>
    </row>
    <row r="410" spans="1:7" ht="15">
      <c r="A410" s="136" t="s">
        <v>2060</v>
      </c>
      <c r="B410" s="67">
        <v>2</v>
      </c>
      <c r="C410" s="139">
        <v>0.006149205064709735</v>
      </c>
      <c r="D410" s="67" t="s">
        <v>693</v>
      </c>
      <c r="E410" s="67" t="b">
        <v>0</v>
      </c>
      <c r="F410" s="67" t="b">
        <v>0</v>
      </c>
      <c r="G410" s="67" t="b">
        <v>0</v>
      </c>
    </row>
    <row r="411" spans="1:7" ht="15">
      <c r="A411" s="136" t="s">
        <v>2096</v>
      </c>
      <c r="B411" s="67">
        <v>2</v>
      </c>
      <c r="C411" s="139">
        <v>0.006149205064709735</v>
      </c>
      <c r="D411" s="67" t="s">
        <v>693</v>
      </c>
      <c r="E411" s="67" t="b">
        <v>0</v>
      </c>
      <c r="F411" s="67" t="b">
        <v>0</v>
      </c>
      <c r="G411" s="67" t="b">
        <v>0</v>
      </c>
    </row>
    <row r="412" spans="1:7" ht="15">
      <c r="A412" s="136" t="s">
        <v>1801</v>
      </c>
      <c r="B412" s="67">
        <v>8</v>
      </c>
      <c r="C412" s="139">
        <v>0.07074102276214943</v>
      </c>
      <c r="D412" s="67" t="s">
        <v>804</v>
      </c>
      <c r="E412" s="67" t="b">
        <v>0</v>
      </c>
      <c r="F412" s="67" t="b">
        <v>0</v>
      </c>
      <c r="G412" s="67" t="b">
        <v>0</v>
      </c>
    </row>
    <row r="413" spans="1:7" ht="15">
      <c r="A413" s="136" t="s">
        <v>1800</v>
      </c>
      <c r="B413" s="67">
        <v>4</v>
      </c>
      <c r="C413" s="139">
        <v>0.021687329759984657</v>
      </c>
      <c r="D413" s="67" t="s">
        <v>804</v>
      </c>
      <c r="E413" s="67" t="b">
        <v>0</v>
      </c>
      <c r="F413" s="67" t="b">
        <v>0</v>
      </c>
      <c r="G413" s="67" t="b">
        <v>0</v>
      </c>
    </row>
    <row r="414" spans="1:7" ht="15">
      <c r="A414" s="136" t="s">
        <v>1816</v>
      </c>
      <c r="B414" s="67">
        <v>3</v>
      </c>
      <c r="C414" s="139">
        <v>0.02052477243163508</v>
      </c>
      <c r="D414" s="67" t="s">
        <v>804</v>
      </c>
      <c r="E414" s="67" t="b">
        <v>0</v>
      </c>
      <c r="F414" s="67" t="b">
        <v>0</v>
      </c>
      <c r="G414" s="67" t="b">
        <v>0</v>
      </c>
    </row>
    <row r="415" spans="1:7" ht="15">
      <c r="A415" s="136" t="s">
        <v>1817</v>
      </c>
      <c r="B415" s="67">
        <v>2</v>
      </c>
      <c r="C415" s="139">
        <v>0.017685255690537357</v>
      </c>
      <c r="D415" s="67" t="s">
        <v>804</v>
      </c>
      <c r="E415" s="67" t="b">
        <v>0</v>
      </c>
      <c r="F415" s="67" t="b">
        <v>0</v>
      </c>
      <c r="G415" s="67" t="b">
        <v>0</v>
      </c>
    </row>
    <row r="416" spans="1:7" ht="15">
      <c r="A416" s="136" t="s">
        <v>1818</v>
      </c>
      <c r="B416" s="67">
        <v>2</v>
      </c>
      <c r="C416" s="139">
        <v>0.017685255690537357</v>
      </c>
      <c r="D416" s="67" t="s">
        <v>804</v>
      </c>
      <c r="E416" s="67" t="b">
        <v>0</v>
      </c>
      <c r="F416" s="67" t="b">
        <v>0</v>
      </c>
      <c r="G416" s="67" t="b">
        <v>0</v>
      </c>
    </row>
    <row r="417" spans="1:7" ht="15">
      <c r="A417" s="136" t="s">
        <v>1819</v>
      </c>
      <c r="B417" s="67">
        <v>2</v>
      </c>
      <c r="C417" s="139">
        <v>0.017685255690537357</v>
      </c>
      <c r="D417" s="67" t="s">
        <v>804</v>
      </c>
      <c r="E417" s="67" t="b">
        <v>0</v>
      </c>
      <c r="F417" s="67" t="b">
        <v>0</v>
      </c>
      <c r="G417" s="67" t="b">
        <v>0</v>
      </c>
    </row>
    <row r="418" spans="1:7" ht="15">
      <c r="A418" s="136" t="s">
        <v>1820</v>
      </c>
      <c r="B418" s="67">
        <v>2</v>
      </c>
      <c r="C418" s="139">
        <v>0.017685255690537357</v>
      </c>
      <c r="D418" s="67" t="s">
        <v>804</v>
      </c>
      <c r="E418" s="67" t="b">
        <v>0</v>
      </c>
      <c r="F418" s="67" t="b">
        <v>0</v>
      </c>
      <c r="G418" s="67" t="b">
        <v>0</v>
      </c>
    </row>
    <row r="419" spans="1:7" ht="15">
      <c r="A419" s="136" t="s">
        <v>1821</v>
      </c>
      <c r="B419" s="67">
        <v>2</v>
      </c>
      <c r="C419" s="139">
        <v>0.017685255690537357</v>
      </c>
      <c r="D419" s="67" t="s">
        <v>804</v>
      </c>
      <c r="E419" s="67" t="b">
        <v>0</v>
      </c>
      <c r="F419" s="67" t="b">
        <v>0</v>
      </c>
      <c r="G419" s="67" t="b">
        <v>0</v>
      </c>
    </row>
    <row r="420" spans="1:7" ht="15">
      <c r="A420" s="136" t="s">
        <v>1822</v>
      </c>
      <c r="B420" s="67">
        <v>2</v>
      </c>
      <c r="C420" s="139">
        <v>0.017685255690537357</v>
      </c>
      <c r="D420" s="67" t="s">
        <v>804</v>
      </c>
      <c r="E420" s="67" t="b">
        <v>0</v>
      </c>
      <c r="F420" s="67" t="b">
        <v>0</v>
      </c>
      <c r="G420" s="67" t="b">
        <v>0</v>
      </c>
    </row>
    <row r="421" spans="1:7" ht="15">
      <c r="A421" s="136" t="s">
        <v>1823</v>
      </c>
      <c r="B421" s="67">
        <v>2</v>
      </c>
      <c r="C421" s="139">
        <v>0.017685255690537357</v>
      </c>
      <c r="D421" s="67" t="s">
        <v>804</v>
      </c>
      <c r="E421" s="67" t="b">
        <v>0</v>
      </c>
      <c r="F421" s="67" t="b">
        <v>0</v>
      </c>
      <c r="G421" s="67" t="b">
        <v>0</v>
      </c>
    </row>
    <row r="422" spans="1:7" ht="15">
      <c r="A422" s="136" t="s">
        <v>2140</v>
      </c>
      <c r="B422" s="67">
        <v>2</v>
      </c>
      <c r="C422" s="139">
        <v>0.017685255690537357</v>
      </c>
      <c r="D422" s="67" t="s">
        <v>804</v>
      </c>
      <c r="E422" s="67" t="b">
        <v>0</v>
      </c>
      <c r="F422" s="67" t="b">
        <v>0</v>
      </c>
      <c r="G422" s="67" t="b">
        <v>0</v>
      </c>
    </row>
    <row r="423" spans="1:7" ht="15">
      <c r="A423" s="136" t="s">
        <v>2094</v>
      </c>
      <c r="B423" s="67">
        <v>2</v>
      </c>
      <c r="C423" s="139">
        <v>0.017685255690537357</v>
      </c>
      <c r="D423" s="67" t="s">
        <v>804</v>
      </c>
      <c r="E423" s="67" t="b">
        <v>0</v>
      </c>
      <c r="F423" s="67" t="b">
        <v>0</v>
      </c>
      <c r="G423" s="67" t="b">
        <v>0</v>
      </c>
    </row>
    <row r="424" spans="1:7" ht="15">
      <c r="A424" s="136" t="s">
        <v>2119</v>
      </c>
      <c r="B424" s="67">
        <v>2</v>
      </c>
      <c r="C424" s="139">
        <v>0.017685255690537357</v>
      </c>
      <c r="D424" s="67" t="s">
        <v>804</v>
      </c>
      <c r="E424" s="67" t="b">
        <v>0</v>
      </c>
      <c r="F424" s="67" t="b">
        <v>0</v>
      </c>
      <c r="G424" s="67" t="b">
        <v>0</v>
      </c>
    </row>
    <row r="425" spans="1:7" ht="15">
      <c r="A425" s="136" t="s">
        <v>2120</v>
      </c>
      <c r="B425" s="67">
        <v>2</v>
      </c>
      <c r="C425" s="139">
        <v>0.017685255690537357</v>
      </c>
      <c r="D425" s="67" t="s">
        <v>804</v>
      </c>
      <c r="E425" s="67" t="b">
        <v>0</v>
      </c>
      <c r="F425" s="67" t="b">
        <v>0</v>
      </c>
      <c r="G425" s="67" t="b">
        <v>0</v>
      </c>
    </row>
    <row r="426" spans="1:7" ht="15">
      <c r="A426" s="136" t="s">
        <v>2136</v>
      </c>
      <c r="B426" s="67">
        <v>2</v>
      </c>
      <c r="C426" s="139">
        <v>0.017685255690537357</v>
      </c>
      <c r="D426" s="67" t="s">
        <v>804</v>
      </c>
      <c r="E426" s="67" t="b">
        <v>0</v>
      </c>
      <c r="F426" s="67" t="b">
        <v>0</v>
      </c>
      <c r="G426" s="67" t="b">
        <v>0</v>
      </c>
    </row>
    <row r="427" spans="1:7" ht="15">
      <c r="A427" s="136" t="s">
        <v>2122</v>
      </c>
      <c r="B427" s="67">
        <v>2</v>
      </c>
      <c r="C427" s="139">
        <v>0.017685255690537357</v>
      </c>
      <c r="D427" s="67" t="s">
        <v>804</v>
      </c>
      <c r="E427" s="67" t="b">
        <v>0</v>
      </c>
      <c r="F427" s="67" t="b">
        <v>0</v>
      </c>
      <c r="G427" s="67" t="b">
        <v>0</v>
      </c>
    </row>
    <row r="428" spans="1:7" ht="15">
      <c r="A428" s="136" t="s">
        <v>2058</v>
      </c>
      <c r="B428" s="67">
        <v>2</v>
      </c>
      <c r="C428" s="139">
        <v>0.017685255690537357</v>
      </c>
      <c r="D428" s="67" t="s">
        <v>804</v>
      </c>
      <c r="E428" s="67" t="b">
        <v>0</v>
      </c>
      <c r="F428" s="67" t="b">
        <v>0</v>
      </c>
      <c r="G428" s="67" t="b">
        <v>0</v>
      </c>
    </row>
    <row r="429" spans="1:7" ht="15">
      <c r="A429" s="136" t="s">
        <v>2171</v>
      </c>
      <c r="B429" s="67">
        <v>2</v>
      </c>
      <c r="C429" s="139">
        <v>0.017685255690537357</v>
      </c>
      <c r="D429" s="67" t="s">
        <v>804</v>
      </c>
      <c r="E429" s="67" t="b">
        <v>0</v>
      </c>
      <c r="F429" s="67" t="b">
        <v>0</v>
      </c>
      <c r="G429" s="67" t="b">
        <v>0</v>
      </c>
    </row>
    <row r="430" spans="1:7" ht="15">
      <c r="A430" s="136" t="s">
        <v>2210</v>
      </c>
      <c r="B430" s="67">
        <v>2</v>
      </c>
      <c r="C430" s="139">
        <v>0.017685255690537357</v>
      </c>
      <c r="D430" s="67" t="s">
        <v>804</v>
      </c>
      <c r="E430" s="67" t="b">
        <v>0</v>
      </c>
      <c r="F430" s="67" t="b">
        <v>0</v>
      </c>
      <c r="G430" s="67" t="b">
        <v>0</v>
      </c>
    </row>
    <row r="431" spans="1:7" ht="15">
      <c r="A431" s="136" t="s">
        <v>2130</v>
      </c>
      <c r="B431" s="67">
        <v>2</v>
      </c>
      <c r="C431" s="139">
        <v>0.017685255690537357</v>
      </c>
      <c r="D431" s="67" t="s">
        <v>804</v>
      </c>
      <c r="E431" s="67" t="b">
        <v>0</v>
      </c>
      <c r="F431" s="67" t="b">
        <v>0</v>
      </c>
      <c r="G431" s="67" t="b">
        <v>0</v>
      </c>
    </row>
    <row r="432" spans="1:7" ht="15">
      <c r="A432" s="136" t="s">
        <v>2129</v>
      </c>
      <c r="B432" s="67">
        <v>2</v>
      </c>
      <c r="C432" s="139">
        <v>0.017685255690537357</v>
      </c>
      <c r="D432" s="67" t="s">
        <v>804</v>
      </c>
      <c r="E432" s="67" t="b">
        <v>0</v>
      </c>
      <c r="F432" s="67" t="b">
        <v>0</v>
      </c>
      <c r="G432" s="67" t="b">
        <v>0</v>
      </c>
    </row>
    <row r="433" spans="1:7" ht="15">
      <c r="A433" s="136" t="s">
        <v>2161</v>
      </c>
      <c r="B433" s="67">
        <v>2</v>
      </c>
      <c r="C433" s="139">
        <v>0.017685255690537357</v>
      </c>
      <c r="D433" s="67" t="s">
        <v>804</v>
      </c>
      <c r="E433" s="67" t="b">
        <v>0</v>
      </c>
      <c r="F433" s="67" t="b">
        <v>0</v>
      </c>
      <c r="G433" s="67" t="b">
        <v>0</v>
      </c>
    </row>
    <row r="434" spans="1:7" ht="15">
      <c r="A434" s="136" t="s">
        <v>2133</v>
      </c>
      <c r="B434" s="67">
        <v>2</v>
      </c>
      <c r="C434" s="139">
        <v>0.017685255690537357</v>
      </c>
      <c r="D434" s="67" t="s">
        <v>804</v>
      </c>
      <c r="E434" s="67" t="b">
        <v>0</v>
      </c>
      <c r="F434" s="67" t="b">
        <v>0</v>
      </c>
      <c r="G434" s="67" t="b">
        <v>0</v>
      </c>
    </row>
    <row r="435" spans="1:7" ht="15">
      <c r="A435" s="136" t="s">
        <v>2180</v>
      </c>
      <c r="B435" s="67">
        <v>2</v>
      </c>
      <c r="C435" s="139">
        <v>0.017685255690537357</v>
      </c>
      <c r="D435" s="67" t="s">
        <v>804</v>
      </c>
      <c r="E435" s="67" t="b">
        <v>0</v>
      </c>
      <c r="F435" s="67" t="b">
        <v>0</v>
      </c>
      <c r="G435" s="67" t="b">
        <v>0</v>
      </c>
    </row>
    <row r="436" spans="1:7" ht="15">
      <c r="A436" s="136" t="s">
        <v>2128</v>
      </c>
      <c r="B436" s="67">
        <v>2</v>
      </c>
      <c r="C436" s="139">
        <v>0.017685255690537357</v>
      </c>
      <c r="D436" s="67" t="s">
        <v>804</v>
      </c>
      <c r="E436" s="67" t="b">
        <v>0</v>
      </c>
      <c r="F436" s="67" t="b">
        <v>0</v>
      </c>
      <c r="G436" s="67" t="b">
        <v>0</v>
      </c>
    </row>
    <row r="437" spans="1:7" ht="15">
      <c r="A437" s="136" t="s">
        <v>933</v>
      </c>
      <c r="B437" s="67">
        <v>2</v>
      </c>
      <c r="C437" s="139">
        <v>0.017685255690537357</v>
      </c>
      <c r="D437" s="67" t="s">
        <v>804</v>
      </c>
      <c r="E437" s="67" t="b">
        <v>0</v>
      </c>
      <c r="F437" s="67" t="b">
        <v>0</v>
      </c>
      <c r="G437" s="67" t="b">
        <v>0</v>
      </c>
    </row>
    <row r="438" spans="1:7" ht="15">
      <c r="A438" s="136" t="s">
        <v>2063</v>
      </c>
      <c r="B438" s="67">
        <v>2</v>
      </c>
      <c r="C438" s="139">
        <v>0.017685255690537357</v>
      </c>
      <c r="D438" s="67" t="s">
        <v>804</v>
      </c>
      <c r="E438" s="67" t="b">
        <v>0</v>
      </c>
      <c r="F438" s="67" t="b">
        <v>0</v>
      </c>
      <c r="G438" s="67" t="b">
        <v>0</v>
      </c>
    </row>
    <row r="439" spans="1:7" ht="15">
      <c r="A439" s="136" t="s">
        <v>2144</v>
      </c>
      <c r="B439" s="67">
        <v>2</v>
      </c>
      <c r="C439" s="139">
        <v>0.017685255690537357</v>
      </c>
      <c r="D439" s="67" t="s">
        <v>804</v>
      </c>
      <c r="E439" s="67" t="b">
        <v>0</v>
      </c>
      <c r="F439" s="67" t="b">
        <v>0</v>
      </c>
      <c r="G439" s="67" t="b">
        <v>0</v>
      </c>
    </row>
    <row r="440" spans="1:7" ht="15">
      <c r="A440" s="136" t="s">
        <v>2078</v>
      </c>
      <c r="B440" s="67">
        <v>2</v>
      </c>
      <c r="C440" s="139">
        <v>0.017685255690537357</v>
      </c>
      <c r="D440" s="67" t="s">
        <v>804</v>
      </c>
      <c r="E440" s="67" t="b">
        <v>0</v>
      </c>
      <c r="F440" s="67" t="b">
        <v>0</v>
      </c>
      <c r="G440" s="67" t="b">
        <v>0</v>
      </c>
    </row>
    <row r="441" spans="1:7" ht="15">
      <c r="A441" s="136" t="s">
        <v>2083</v>
      </c>
      <c r="B441" s="67">
        <v>2</v>
      </c>
      <c r="C441" s="139">
        <v>0.017685255690537357</v>
      </c>
      <c r="D441" s="67" t="s">
        <v>804</v>
      </c>
      <c r="E441" s="67" t="b">
        <v>0</v>
      </c>
      <c r="F441" s="67" t="b">
        <v>0</v>
      </c>
      <c r="G441" s="67" t="b">
        <v>0</v>
      </c>
    </row>
    <row r="442" spans="1:7" ht="15">
      <c r="A442" s="136" t="s">
        <v>2142</v>
      </c>
      <c r="B442" s="67">
        <v>2</v>
      </c>
      <c r="C442" s="139">
        <v>0.017685255690537357</v>
      </c>
      <c r="D442" s="67" t="s">
        <v>804</v>
      </c>
      <c r="E442" s="67" t="b">
        <v>0</v>
      </c>
      <c r="F442" s="67" t="b">
        <v>0</v>
      </c>
      <c r="G442" s="67" t="b">
        <v>0</v>
      </c>
    </row>
    <row r="443" spans="1:7" ht="15">
      <c r="A443" s="136" t="s">
        <v>1824</v>
      </c>
      <c r="B443" s="67">
        <v>4</v>
      </c>
      <c r="C443" s="139">
        <v>0.0400196048375267</v>
      </c>
      <c r="D443" s="67" t="s">
        <v>805</v>
      </c>
      <c r="E443" s="67" t="b">
        <v>0</v>
      </c>
      <c r="F443" s="67" t="b">
        <v>0</v>
      </c>
      <c r="G443" s="67" t="b">
        <v>0</v>
      </c>
    </row>
    <row r="444" spans="1:7" ht="15">
      <c r="A444" s="136" t="s">
        <v>1825</v>
      </c>
      <c r="B444" s="67">
        <v>4</v>
      </c>
      <c r="C444" s="139">
        <v>0.0400196048375267</v>
      </c>
      <c r="D444" s="67" t="s">
        <v>805</v>
      </c>
      <c r="E444" s="67" t="b">
        <v>0</v>
      </c>
      <c r="F444" s="67" t="b">
        <v>0</v>
      </c>
      <c r="G444" s="67" t="b">
        <v>0</v>
      </c>
    </row>
    <row r="445" spans="1:7" ht="15">
      <c r="A445" s="136" t="s">
        <v>913</v>
      </c>
      <c r="B445" s="67">
        <v>3</v>
      </c>
      <c r="C445" s="139">
        <v>0.022875868801563348</v>
      </c>
      <c r="D445" s="67" t="s">
        <v>805</v>
      </c>
      <c r="E445" s="67" t="b">
        <v>0</v>
      </c>
      <c r="F445" s="67" t="b">
        <v>0</v>
      </c>
      <c r="G445" s="67" t="b">
        <v>0</v>
      </c>
    </row>
    <row r="446" spans="1:7" ht="15">
      <c r="A446" s="136" t="s">
        <v>953</v>
      </c>
      <c r="B446" s="67">
        <v>3</v>
      </c>
      <c r="C446" s="139">
        <v>0.022875868801563348</v>
      </c>
      <c r="D446" s="67" t="s">
        <v>805</v>
      </c>
      <c r="E446" s="67" t="b">
        <v>0</v>
      </c>
      <c r="F446" s="67" t="b">
        <v>0</v>
      </c>
      <c r="G446" s="67" t="b">
        <v>0</v>
      </c>
    </row>
    <row r="447" spans="1:7" ht="15">
      <c r="A447" s="136" t="s">
        <v>1826</v>
      </c>
      <c r="B447" s="67">
        <v>3</v>
      </c>
      <c r="C447" s="139">
        <v>0.022875868801563348</v>
      </c>
      <c r="D447" s="67" t="s">
        <v>805</v>
      </c>
      <c r="E447" s="67" t="b">
        <v>0</v>
      </c>
      <c r="F447" s="67" t="b">
        <v>0</v>
      </c>
      <c r="G447" s="67" t="b">
        <v>0</v>
      </c>
    </row>
    <row r="448" spans="1:7" ht="15">
      <c r="A448" s="136" t="s">
        <v>2214</v>
      </c>
      <c r="B448" s="67">
        <v>2</v>
      </c>
      <c r="C448" s="139">
        <v>0.02000980241876335</v>
      </c>
      <c r="D448" s="67" t="s">
        <v>805</v>
      </c>
      <c r="E448" s="67" t="b">
        <v>0</v>
      </c>
      <c r="F448" s="67" t="b">
        <v>0</v>
      </c>
      <c r="G448" s="67" t="b">
        <v>0</v>
      </c>
    </row>
    <row r="449" spans="1:7" ht="15">
      <c r="A449" s="136" t="s">
        <v>2231</v>
      </c>
      <c r="B449" s="67">
        <v>2</v>
      </c>
      <c r="C449" s="139">
        <v>0.02000980241876335</v>
      </c>
      <c r="D449" s="67" t="s">
        <v>805</v>
      </c>
      <c r="E449" s="67" t="b">
        <v>0</v>
      </c>
      <c r="F449" s="67" t="b">
        <v>0</v>
      </c>
      <c r="G449" s="67" t="b">
        <v>0</v>
      </c>
    </row>
    <row r="450" spans="1:7" ht="15">
      <c r="A450" s="136" t="s">
        <v>1831</v>
      </c>
      <c r="B450" s="67">
        <v>2</v>
      </c>
      <c r="C450" s="139">
        <v>0.02000980241876335</v>
      </c>
      <c r="D450" s="67" t="s">
        <v>805</v>
      </c>
      <c r="E450" s="67" t="b">
        <v>0</v>
      </c>
      <c r="F450" s="67" t="b">
        <v>0</v>
      </c>
      <c r="G450" s="67" t="b">
        <v>0</v>
      </c>
    </row>
    <row r="451" spans="1:7" ht="15">
      <c r="A451" s="136" t="s">
        <v>2217</v>
      </c>
      <c r="B451" s="67">
        <v>2</v>
      </c>
      <c r="C451" s="139">
        <v>0.02000980241876335</v>
      </c>
      <c r="D451" s="67" t="s">
        <v>805</v>
      </c>
      <c r="E451" s="67" t="b">
        <v>0</v>
      </c>
      <c r="F451" s="67" t="b">
        <v>0</v>
      </c>
      <c r="G451" s="67" t="b">
        <v>0</v>
      </c>
    </row>
    <row r="452" spans="1:7" ht="15">
      <c r="A452" s="136" t="s">
        <v>2066</v>
      </c>
      <c r="B452" s="67">
        <v>2</v>
      </c>
      <c r="C452" s="139">
        <v>0.02000980241876335</v>
      </c>
      <c r="D452" s="67" t="s">
        <v>805</v>
      </c>
      <c r="E452" s="67" t="b">
        <v>0</v>
      </c>
      <c r="F452" s="67" t="b">
        <v>0</v>
      </c>
      <c r="G452" s="67" t="b">
        <v>0</v>
      </c>
    </row>
    <row r="453" spans="1:7" ht="15">
      <c r="A453" s="136" t="s">
        <v>2126</v>
      </c>
      <c r="B453" s="67">
        <v>2</v>
      </c>
      <c r="C453" s="139">
        <v>0.02000980241876335</v>
      </c>
      <c r="D453" s="67" t="s">
        <v>805</v>
      </c>
      <c r="E453" s="67" t="b">
        <v>0</v>
      </c>
      <c r="F453" s="67" t="b">
        <v>0</v>
      </c>
      <c r="G453" s="67" t="b">
        <v>0</v>
      </c>
    </row>
    <row r="454" spans="1:7" ht="15">
      <c r="A454" s="136" t="s">
        <v>2111</v>
      </c>
      <c r="B454" s="67">
        <v>2</v>
      </c>
      <c r="C454" s="139">
        <v>0.02000980241876335</v>
      </c>
      <c r="D454" s="67" t="s">
        <v>805</v>
      </c>
      <c r="E454" s="67" t="b">
        <v>0</v>
      </c>
      <c r="F454" s="67" t="b">
        <v>0</v>
      </c>
      <c r="G454" s="67" t="b">
        <v>0</v>
      </c>
    </row>
    <row r="455" spans="1:7" ht="15">
      <c r="A455" s="136" t="s">
        <v>952</v>
      </c>
      <c r="B455" s="67">
        <v>2</v>
      </c>
      <c r="C455" s="139">
        <v>0.02000980241876335</v>
      </c>
      <c r="D455" s="67" t="s">
        <v>805</v>
      </c>
      <c r="E455" s="67" t="b">
        <v>0</v>
      </c>
      <c r="F455" s="67" t="b">
        <v>0</v>
      </c>
      <c r="G455" s="67" t="b">
        <v>0</v>
      </c>
    </row>
    <row r="456" spans="1:7" ht="15">
      <c r="A456" s="136" t="s">
        <v>1828</v>
      </c>
      <c r="B456" s="67">
        <v>2</v>
      </c>
      <c r="C456" s="139">
        <v>0.02000980241876335</v>
      </c>
      <c r="D456" s="67" t="s">
        <v>805</v>
      </c>
      <c r="E456" s="67" t="b">
        <v>0</v>
      </c>
      <c r="F456" s="67" t="b">
        <v>0</v>
      </c>
      <c r="G456" s="67" t="b">
        <v>0</v>
      </c>
    </row>
    <row r="457" spans="1:7" ht="15">
      <c r="A457" s="136" t="s">
        <v>1829</v>
      </c>
      <c r="B457" s="67">
        <v>2</v>
      </c>
      <c r="C457" s="139">
        <v>0.02000980241876335</v>
      </c>
      <c r="D457" s="67" t="s">
        <v>805</v>
      </c>
      <c r="E457" s="67" t="b">
        <v>0</v>
      </c>
      <c r="F457" s="67" t="b">
        <v>0</v>
      </c>
      <c r="G457" s="67" t="b">
        <v>0</v>
      </c>
    </row>
    <row r="458" spans="1:7" ht="15">
      <c r="A458" s="136" t="s">
        <v>2219</v>
      </c>
      <c r="B458" s="67">
        <v>2</v>
      </c>
      <c r="C458" s="139">
        <v>0.02000980241876335</v>
      </c>
      <c r="D458" s="67" t="s">
        <v>805</v>
      </c>
      <c r="E458" s="67" t="b">
        <v>0</v>
      </c>
      <c r="F458" s="67" t="b">
        <v>0</v>
      </c>
      <c r="G458" s="67" t="b">
        <v>0</v>
      </c>
    </row>
    <row r="459" spans="1:7" ht="15">
      <c r="A459" s="136" t="s">
        <v>1830</v>
      </c>
      <c r="B459" s="67">
        <v>2</v>
      </c>
      <c r="C459" s="139">
        <v>0.02000980241876335</v>
      </c>
      <c r="D459" s="67" t="s">
        <v>805</v>
      </c>
      <c r="E459" s="67" t="b">
        <v>0</v>
      </c>
      <c r="F459" s="67" t="b">
        <v>0</v>
      </c>
      <c r="G459" s="67" t="b">
        <v>0</v>
      </c>
    </row>
    <row r="460" spans="1:7" ht="15">
      <c r="A460" s="136" t="s">
        <v>2067</v>
      </c>
      <c r="B460" s="67">
        <v>2</v>
      </c>
      <c r="C460" s="139">
        <v>0.02000980241876335</v>
      </c>
      <c r="D460" s="67" t="s">
        <v>805</v>
      </c>
      <c r="E460" s="67" t="b">
        <v>0</v>
      </c>
      <c r="F460" s="67" t="b">
        <v>0</v>
      </c>
      <c r="G460" s="67" t="b">
        <v>0</v>
      </c>
    </row>
    <row r="461" spans="1:7" ht="15">
      <c r="A461" s="136" t="s">
        <v>1827</v>
      </c>
      <c r="B461" s="67">
        <v>2</v>
      </c>
      <c r="C461" s="139">
        <v>0.02000980241876335</v>
      </c>
      <c r="D461" s="67" t="s">
        <v>805</v>
      </c>
      <c r="E461" s="67" t="b">
        <v>0</v>
      </c>
      <c r="F461" s="67" t="b">
        <v>0</v>
      </c>
      <c r="G461" s="67" t="b">
        <v>0</v>
      </c>
    </row>
    <row r="462" spans="1:7" ht="15">
      <c r="A462" s="136" t="s">
        <v>2123</v>
      </c>
      <c r="B462" s="67">
        <v>2</v>
      </c>
      <c r="C462" s="139">
        <v>0.02000980241876335</v>
      </c>
      <c r="D462" s="67" t="s">
        <v>805</v>
      </c>
      <c r="E462" s="67" t="b">
        <v>0</v>
      </c>
      <c r="F462" s="67" t="b">
        <v>0</v>
      </c>
      <c r="G462" s="67" t="b">
        <v>0</v>
      </c>
    </row>
    <row r="463" spans="1:7" ht="15">
      <c r="A463" s="136" t="s">
        <v>942</v>
      </c>
      <c r="B463" s="67">
        <v>2</v>
      </c>
      <c r="C463" s="139">
        <v>0</v>
      </c>
      <c r="D463" s="67" t="s">
        <v>807</v>
      </c>
      <c r="E463" s="67" t="b">
        <v>0</v>
      </c>
      <c r="F463" s="67" t="b">
        <v>0</v>
      </c>
      <c r="G463" s="67" t="b">
        <v>0</v>
      </c>
    </row>
    <row r="464" spans="1:7" ht="15">
      <c r="A464" s="136" t="s">
        <v>333</v>
      </c>
      <c r="B464" s="67">
        <v>2</v>
      </c>
      <c r="C464" s="139">
        <v>0</v>
      </c>
      <c r="D464" s="67" t="s">
        <v>807</v>
      </c>
      <c r="E464" s="67" t="b">
        <v>0</v>
      </c>
      <c r="F464" s="67" t="b">
        <v>0</v>
      </c>
      <c r="G464" s="67" t="b">
        <v>0</v>
      </c>
    </row>
    <row r="465" spans="1:7" ht="15">
      <c r="A465" s="136" t="s">
        <v>1832</v>
      </c>
      <c r="B465" s="67">
        <v>2</v>
      </c>
      <c r="C465" s="139">
        <v>0</v>
      </c>
      <c r="D465" s="67" t="s">
        <v>807</v>
      </c>
      <c r="E465" s="67" t="b">
        <v>0</v>
      </c>
      <c r="F465" s="67" t="b">
        <v>0</v>
      </c>
      <c r="G465" s="67" t="b">
        <v>0</v>
      </c>
    </row>
    <row r="466" spans="1:7" ht="15">
      <c r="A466" s="136" t="s">
        <v>941</v>
      </c>
      <c r="B466" s="67">
        <v>2</v>
      </c>
      <c r="C466" s="139">
        <v>0</v>
      </c>
      <c r="D466" s="67" t="s">
        <v>807</v>
      </c>
      <c r="E466" s="67" t="b">
        <v>0</v>
      </c>
      <c r="F466" s="67" t="b">
        <v>0</v>
      </c>
      <c r="G466" s="67" t="b">
        <v>0</v>
      </c>
    </row>
    <row r="467" spans="1:7" ht="15">
      <c r="A467" s="136" t="s">
        <v>943</v>
      </c>
      <c r="B467" s="67">
        <v>2</v>
      </c>
      <c r="C467" s="139">
        <v>0</v>
      </c>
      <c r="D467" s="67" t="s">
        <v>807</v>
      </c>
      <c r="E467" s="67" t="b">
        <v>0</v>
      </c>
      <c r="F467" s="67" t="b">
        <v>0</v>
      </c>
      <c r="G467" s="67" t="b">
        <v>0</v>
      </c>
    </row>
    <row r="468" spans="1:7" ht="15">
      <c r="A468" s="136" t="s">
        <v>940</v>
      </c>
      <c r="B468" s="67">
        <v>2</v>
      </c>
      <c r="C468" s="139">
        <v>0</v>
      </c>
      <c r="D468" s="67" t="s">
        <v>807</v>
      </c>
      <c r="E468" s="67" t="b">
        <v>0</v>
      </c>
      <c r="F468" s="67" t="b">
        <v>0</v>
      </c>
      <c r="G468" s="67" t="b">
        <v>0</v>
      </c>
    </row>
    <row r="469" spans="1:7" ht="15">
      <c r="A469" s="136" t="s">
        <v>1833</v>
      </c>
      <c r="B469" s="67">
        <v>3</v>
      </c>
      <c r="C469" s="139">
        <v>0.013632035849133212</v>
      </c>
      <c r="D469" s="67" t="s">
        <v>808</v>
      </c>
      <c r="E469" s="67" t="b">
        <v>0</v>
      </c>
      <c r="F469" s="67" t="b">
        <v>0</v>
      </c>
      <c r="G469" s="67" t="b">
        <v>0</v>
      </c>
    </row>
    <row r="470" spans="1:7" ht="15">
      <c r="A470" s="136" t="s">
        <v>1834</v>
      </c>
      <c r="B470" s="67">
        <v>3</v>
      </c>
      <c r="C470" s="139">
        <v>0.013632035849133212</v>
      </c>
      <c r="D470" s="67" t="s">
        <v>808</v>
      </c>
      <c r="E470" s="67" t="b">
        <v>0</v>
      </c>
      <c r="F470" s="67" t="b">
        <v>0</v>
      </c>
      <c r="G470" s="67" t="b">
        <v>0</v>
      </c>
    </row>
    <row r="471" spans="1:7" ht="15">
      <c r="A471" s="136" t="s">
        <v>1835</v>
      </c>
      <c r="B471" s="67">
        <v>3</v>
      </c>
      <c r="C471" s="139">
        <v>0.013632035849133212</v>
      </c>
      <c r="D471" s="67" t="s">
        <v>808</v>
      </c>
      <c r="E471" s="67" t="b">
        <v>0</v>
      </c>
      <c r="F471" s="67" t="b">
        <v>0</v>
      </c>
      <c r="G471" s="67" t="b">
        <v>0</v>
      </c>
    </row>
    <row r="472" spans="1:7" ht="15">
      <c r="A472" s="136" t="s">
        <v>1836</v>
      </c>
      <c r="B472" s="67">
        <v>2</v>
      </c>
      <c r="C472" s="139">
        <v>0.009088023899422143</v>
      </c>
      <c r="D472" s="67" t="s">
        <v>808</v>
      </c>
      <c r="E472" s="67" t="b">
        <v>0</v>
      </c>
      <c r="F472" s="67" t="b">
        <v>0</v>
      </c>
      <c r="G472" s="67" t="b">
        <v>0</v>
      </c>
    </row>
    <row r="473" spans="1:7" ht="15">
      <c r="A473" s="136" t="s">
        <v>1837</v>
      </c>
      <c r="B473" s="67">
        <v>2</v>
      </c>
      <c r="C473" s="139">
        <v>0.009088023899422143</v>
      </c>
      <c r="D473" s="67" t="s">
        <v>808</v>
      </c>
      <c r="E473" s="67" t="b">
        <v>0</v>
      </c>
      <c r="F473" s="67" t="b">
        <v>0</v>
      </c>
      <c r="G473" s="67" t="b">
        <v>0</v>
      </c>
    </row>
    <row r="474" spans="1:7" ht="15">
      <c r="A474" s="136" t="s">
        <v>1838</v>
      </c>
      <c r="B474" s="67">
        <v>2</v>
      </c>
      <c r="C474" s="139">
        <v>0.009088023899422143</v>
      </c>
      <c r="D474" s="67" t="s">
        <v>808</v>
      </c>
      <c r="E474" s="67" t="b">
        <v>0</v>
      </c>
      <c r="F474" s="67" t="b">
        <v>0</v>
      </c>
      <c r="G474" s="67" t="b">
        <v>0</v>
      </c>
    </row>
    <row r="475" spans="1:7" ht="15">
      <c r="A475" s="136" t="s">
        <v>1839</v>
      </c>
      <c r="B475" s="67">
        <v>2</v>
      </c>
      <c r="C475" s="139">
        <v>0.009088023899422143</v>
      </c>
      <c r="D475" s="67" t="s">
        <v>808</v>
      </c>
      <c r="E475" s="67" t="b">
        <v>0</v>
      </c>
      <c r="F475" s="67" t="b">
        <v>0</v>
      </c>
      <c r="G475" s="67" t="b">
        <v>0</v>
      </c>
    </row>
    <row r="476" spans="1:7" ht="15">
      <c r="A476" s="136" t="s">
        <v>1840</v>
      </c>
      <c r="B476" s="67">
        <v>2</v>
      </c>
      <c r="C476" s="139">
        <v>0.009088023899422143</v>
      </c>
      <c r="D476" s="67" t="s">
        <v>808</v>
      </c>
      <c r="E476" s="67" t="b">
        <v>0</v>
      </c>
      <c r="F476" s="67" t="b">
        <v>0</v>
      </c>
      <c r="G476" s="67" t="b">
        <v>0</v>
      </c>
    </row>
    <row r="477" spans="1:7" ht="15">
      <c r="A477" s="136" t="s">
        <v>1841</v>
      </c>
      <c r="B477" s="67">
        <v>2</v>
      </c>
      <c r="C477" s="139">
        <v>0.009088023899422143</v>
      </c>
      <c r="D477" s="67" t="s">
        <v>808</v>
      </c>
      <c r="E477" s="67" t="b">
        <v>0</v>
      </c>
      <c r="F477" s="67" t="b">
        <v>0</v>
      </c>
      <c r="G477" s="67" t="b">
        <v>0</v>
      </c>
    </row>
    <row r="478" spans="1:7" ht="15">
      <c r="A478" s="136" t="s">
        <v>1842</v>
      </c>
      <c r="B478" s="67">
        <v>2</v>
      </c>
      <c r="C478" s="139">
        <v>0.009088023899422143</v>
      </c>
      <c r="D478" s="67" t="s">
        <v>808</v>
      </c>
      <c r="E478" s="67" t="b">
        <v>0</v>
      </c>
      <c r="F478" s="67" t="b">
        <v>0</v>
      </c>
      <c r="G478" s="67" t="b">
        <v>0</v>
      </c>
    </row>
    <row r="479" spans="1:7" ht="15">
      <c r="A479" s="136" t="s">
        <v>2187</v>
      </c>
      <c r="B479" s="67">
        <v>2</v>
      </c>
      <c r="C479" s="139">
        <v>0.009088023899422143</v>
      </c>
      <c r="D479" s="67" t="s">
        <v>808</v>
      </c>
      <c r="E479" s="67" t="b">
        <v>0</v>
      </c>
      <c r="F479" s="67" t="b">
        <v>0</v>
      </c>
      <c r="G479" s="67" t="b">
        <v>0</v>
      </c>
    </row>
    <row r="480" spans="1:7" ht="15">
      <c r="A480" s="136" t="s">
        <v>2230</v>
      </c>
      <c r="B480" s="67">
        <v>2</v>
      </c>
      <c r="C480" s="139">
        <v>0.009088023899422143</v>
      </c>
      <c r="D480" s="67" t="s">
        <v>808</v>
      </c>
      <c r="E480" s="67" t="b">
        <v>0</v>
      </c>
      <c r="F480" s="67" t="b">
        <v>0</v>
      </c>
      <c r="G480" s="67" t="b">
        <v>0</v>
      </c>
    </row>
    <row r="481" spans="1:7" ht="15">
      <c r="A481" s="136" t="s">
        <v>2076</v>
      </c>
      <c r="B481" s="67">
        <v>2</v>
      </c>
      <c r="C481" s="139">
        <v>0.009088023899422143</v>
      </c>
      <c r="D481" s="67" t="s">
        <v>808</v>
      </c>
      <c r="E481" s="67" t="b">
        <v>0</v>
      </c>
      <c r="F481" s="67" t="b">
        <v>0</v>
      </c>
      <c r="G481" s="67" t="b">
        <v>0</v>
      </c>
    </row>
    <row r="482" spans="1:7" ht="15">
      <c r="A482" s="136" t="s">
        <v>2081</v>
      </c>
      <c r="B482" s="67">
        <v>2</v>
      </c>
      <c r="C482" s="139">
        <v>0.009088023899422143</v>
      </c>
      <c r="D482" s="67" t="s">
        <v>808</v>
      </c>
      <c r="E482" s="67" t="b">
        <v>0</v>
      </c>
      <c r="F482" s="67" t="b">
        <v>0</v>
      </c>
      <c r="G482" s="67" t="b">
        <v>0</v>
      </c>
    </row>
    <row r="483" spans="1:7" ht="15">
      <c r="A483" s="136" t="s">
        <v>2145</v>
      </c>
      <c r="B483" s="67">
        <v>2</v>
      </c>
      <c r="C483" s="139">
        <v>0.009088023899422143</v>
      </c>
      <c r="D483" s="67" t="s">
        <v>808</v>
      </c>
      <c r="E483" s="67" t="b">
        <v>0</v>
      </c>
      <c r="F483" s="67" t="b">
        <v>0</v>
      </c>
      <c r="G483" s="67" t="b">
        <v>0</v>
      </c>
    </row>
    <row r="484" spans="1:7" ht="15">
      <c r="A484" s="136" t="s">
        <v>2086</v>
      </c>
      <c r="B484" s="67">
        <v>2</v>
      </c>
      <c r="C484" s="139">
        <v>0.009088023899422143</v>
      </c>
      <c r="D484" s="67" t="s">
        <v>808</v>
      </c>
      <c r="E484" s="67" t="b">
        <v>0</v>
      </c>
      <c r="F484" s="67" t="b">
        <v>0</v>
      </c>
      <c r="G484" s="67" t="b">
        <v>0</v>
      </c>
    </row>
    <row r="485" spans="1:7" ht="15">
      <c r="A485" s="136" t="s">
        <v>2062</v>
      </c>
      <c r="B485" s="67">
        <v>2</v>
      </c>
      <c r="C485" s="139">
        <v>0.009088023899422143</v>
      </c>
      <c r="D485" s="67" t="s">
        <v>808</v>
      </c>
      <c r="E485" s="67" t="b">
        <v>0</v>
      </c>
      <c r="F485" s="67" t="b">
        <v>0</v>
      </c>
      <c r="G485" s="67" t="b">
        <v>0</v>
      </c>
    </row>
    <row r="486" spans="1:7" ht="15">
      <c r="A486" s="136" t="s">
        <v>2104</v>
      </c>
      <c r="B486" s="67">
        <v>2</v>
      </c>
      <c r="C486" s="139">
        <v>0.009088023899422143</v>
      </c>
      <c r="D486" s="67" t="s">
        <v>808</v>
      </c>
      <c r="E486" s="67" t="b">
        <v>0</v>
      </c>
      <c r="F486" s="67" t="b">
        <v>0</v>
      </c>
      <c r="G486" s="67" t="b">
        <v>0</v>
      </c>
    </row>
    <row r="487" spans="1:7" ht="15">
      <c r="A487" s="136" t="s">
        <v>2056</v>
      </c>
      <c r="B487" s="67">
        <v>2</v>
      </c>
      <c r="C487" s="139">
        <v>0.009088023899422143</v>
      </c>
      <c r="D487" s="67" t="s">
        <v>808</v>
      </c>
      <c r="E487" s="67" t="b">
        <v>0</v>
      </c>
      <c r="F487" s="67" t="b">
        <v>0</v>
      </c>
      <c r="G487" s="67" t="b">
        <v>0</v>
      </c>
    </row>
    <row r="488" spans="1:7" ht="15">
      <c r="A488" s="136" t="s">
        <v>2074</v>
      </c>
      <c r="B488" s="67">
        <v>2</v>
      </c>
      <c r="C488" s="139">
        <v>0.009088023899422143</v>
      </c>
      <c r="D488" s="67" t="s">
        <v>808</v>
      </c>
      <c r="E488" s="67" t="b">
        <v>0</v>
      </c>
      <c r="F488" s="67" t="b">
        <v>0</v>
      </c>
      <c r="G488" s="67" t="b">
        <v>0</v>
      </c>
    </row>
    <row r="489" spans="1:7" ht="15">
      <c r="A489" s="136" t="s">
        <v>2100</v>
      </c>
      <c r="B489" s="67">
        <v>2</v>
      </c>
      <c r="C489" s="139">
        <v>0.009088023899422143</v>
      </c>
      <c r="D489" s="67" t="s">
        <v>808</v>
      </c>
      <c r="E489" s="67" t="b">
        <v>0</v>
      </c>
      <c r="F489" s="67" t="b">
        <v>0</v>
      </c>
      <c r="G489" s="67" t="b">
        <v>0</v>
      </c>
    </row>
    <row r="490" spans="1:7" ht="15">
      <c r="A490" s="136" t="s">
        <v>2077</v>
      </c>
      <c r="B490" s="67">
        <v>2</v>
      </c>
      <c r="C490" s="139">
        <v>0.009088023899422143</v>
      </c>
      <c r="D490" s="67" t="s">
        <v>808</v>
      </c>
      <c r="E490" s="67" t="b">
        <v>0</v>
      </c>
      <c r="F490" s="67" t="b">
        <v>0</v>
      </c>
      <c r="G490" s="67" t="b">
        <v>0</v>
      </c>
    </row>
    <row r="491" spans="1:7" ht="15">
      <c r="A491" s="136" t="s">
        <v>2173</v>
      </c>
      <c r="B491" s="67">
        <v>2</v>
      </c>
      <c r="C491" s="139">
        <v>0.009088023899422143</v>
      </c>
      <c r="D491" s="67" t="s">
        <v>808</v>
      </c>
      <c r="E491" s="67" t="b">
        <v>0</v>
      </c>
      <c r="F491" s="67" t="b">
        <v>0</v>
      </c>
      <c r="G491" s="67" t="b">
        <v>0</v>
      </c>
    </row>
    <row r="492" spans="1:7" ht="15">
      <c r="A492" s="136" t="s">
        <v>2084</v>
      </c>
      <c r="B492" s="67">
        <v>2</v>
      </c>
      <c r="C492" s="139">
        <v>0.009088023899422143</v>
      </c>
      <c r="D492" s="67" t="s">
        <v>808</v>
      </c>
      <c r="E492" s="67" t="b">
        <v>0</v>
      </c>
      <c r="F492" s="67" t="b">
        <v>0</v>
      </c>
      <c r="G492" s="67" t="b">
        <v>0</v>
      </c>
    </row>
    <row r="493" spans="1:7" ht="15">
      <c r="A493" s="136" t="s">
        <v>2160</v>
      </c>
      <c r="B493" s="67">
        <v>2</v>
      </c>
      <c r="C493" s="139">
        <v>0.009088023899422143</v>
      </c>
      <c r="D493" s="67" t="s">
        <v>808</v>
      </c>
      <c r="E493" s="67" t="b">
        <v>0</v>
      </c>
      <c r="F493" s="67" t="b">
        <v>0</v>
      </c>
      <c r="G493" s="67" t="b">
        <v>0</v>
      </c>
    </row>
    <row r="494" spans="1:7" ht="15">
      <c r="A494" s="136" t="s">
        <v>1830</v>
      </c>
      <c r="B494" s="67">
        <v>2</v>
      </c>
      <c r="C494" s="139">
        <v>0.009088023899422143</v>
      </c>
      <c r="D494" s="67" t="s">
        <v>808</v>
      </c>
      <c r="E494" s="67" t="b">
        <v>0</v>
      </c>
      <c r="F494" s="67" t="b">
        <v>0</v>
      </c>
      <c r="G494" s="67" t="b">
        <v>0</v>
      </c>
    </row>
    <row r="495" spans="1:7" ht="15">
      <c r="A495" s="136" t="s">
        <v>2139</v>
      </c>
      <c r="B495" s="67">
        <v>2</v>
      </c>
      <c r="C495" s="139">
        <v>0.009088023899422143</v>
      </c>
      <c r="D495" s="67" t="s">
        <v>808</v>
      </c>
      <c r="E495" s="67" t="b">
        <v>0</v>
      </c>
      <c r="F495" s="67" t="b">
        <v>0</v>
      </c>
      <c r="G495" s="67" t="b">
        <v>0</v>
      </c>
    </row>
    <row r="496" spans="1:7" ht="15">
      <c r="A496" s="136" t="s">
        <v>2149</v>
      </c>
      <c r="B496" s="67">
        <v>2</v>
      </c>
      <c r="C496" s="139">
        <v>0.009088023899422143</v>
      </c>
      <c r="D496" s="67" t="s">
        <v>808</v>
      </c>
      <c r="E496" s="67" t="b">
        <v>0</v>
      </c>
      <c r="F496" s="67" t="b">
        <v>0</v>
      </c>
      <c r="G496" s="67" t="b">
        <v>0</v>
      </c>
    </row>
    <row r="497" spans="1:7" ht="15">
      <c r="A497" s="136" t="s">
        <v>2204</v>
      </c>
      <c r="B497" s="67">
        <v>2</v>
      </c>
      <c r="C497" s="139">
        <v>0.009088023899422143</v>
      </c>
      <c r="D497" s="67" t="s">
        <v>808</v>
      </c>
      <c r="E497" s="67" t="b">
        <v>0</v>
      </c>
      <c r="F497" s="67" t="b">
        <v>0</v>
      </c>
      <c r="G497" s="67" t="b">
        <v>0</v>
      </c>
    </row>
    <row r="498" spans="1:7" ht="15">
      <c r="A498" s="136" t="s">
        <v>2087</v>
      </c>
      <c r="B498" s="67">
        <v>2</v>
      </c>
      <c r="C498" s="139">
        <v>0.009088023899422143</v>
      </c>
      <c r="D498" s="67" t="s">
        <v>808</v>
      </c>
      <c r="E498" s="67" t="b">
        <v>0</v>
      </c>
      <c r="F498" s="67" t="b">
        <v>0</v>
      </c>
      <c r="G498" s="67" t="b">
        <v>0</v>
      </c>
    </row>
    <row r="499" spans="1:7" ht="15">
      <c r="A499" s="136" t="s">
        <v>2203</v>
      </c>
      <c r="B499" s="67">
        <v>2</v>
      </c>
      <c r="C499" s="139">
        <v>0.009088023899422143</v>
      </c>
      <c r="D499" s="67" t="s">
        <v>808</v>
      </c>
      <c r="E499" s="67" t="b">
        <v>0</v>
      </c>
      <c r="F499" s="67" t="b">
        <v>0</v>
      </c>
      <c r="G499" s="67" t="b">
        <v>0</v>
      </c>
    </row>
    <row r="500" spans="1:7" ht="15">
      <c r="A500" s="136" t="s">
        <v>2064</v>
      </c>
      <c r="B500" s="67">
        <v>2</v>
      </c>
      <c r="C500" s="139">
        <v>0.009088023899422143</v>
      </c>
      <c r="D500" s="67" t="s">
        <v>808</v>
      </c>
      <c r="E500" s="67" t="b">
        <v>0</v>
      </c>
      <c r="F500" s="67" t="b">
        <v>0</v>
      </c>
      <c r="G500" s="67" t="b">
        <v>0</v>
      </c>
    </row>
    <row r="501" spans="1:7" ht="15">
      <c r="A501" s="136" t="s">
        <v>2091</v>
      </c>
      <c r="B501" s="67">
        <v>2</v>
      </c>
      <c r="C501" s="139">
        <v>0.009088023899422143</v>
      </c>
      <c r="D501" s="67" t="s">
        <v>808</v>
      </c>
      <c r="E501" s="67" t="b">
        <v>0</v>
      </c>
      <c r="F501" s="67" t="b">
        <v>0</v>
      </c>
      <c r="G501" s="67" t="b">
        <v>0</v>
      </c>
    </row>
    <row r="502" spans="1:7" ht="15">
      <c r="A502" s="136" t="s">
        <v>2070</v>
      </c>
      <c r="B502" s="67">
        <v>2</v>
      </c>
      <c r="C502" s="139">
        <v>0.009088023899422143</v>
      </c>
      <c r="D502" s="67" t="s">
        <v>808</v>
      </c>
      <c r="E502" s="67" t="b">
        <v>0</v>
      </c>
      <c r="F502" s="67" t="b">
        <v>0</v>
      </c>
      <c r="G502" s="67" t="b">
        <v>0</v>
      </c>
    </row>
    <row r="503" spans="1:7" ht="15">
      <c r="A503" s="136" t="s">
        <v>2199</v>
      </c>
      <c r="B503" s="67">
        <v>2</v>
      </c>
      <c r="C503" s="139">
        <v>0.009088023899422143</v>
      </c>
      <c r="D503" s="67" t="s">
        <v>808</v>
      </c>
      <c r="E503" s="67" t="b">
        <v>0</v>
      </c>
      <c r="F503" s="67" t="b">
        <v>0</v>
      </c>
      <c r="G503" s="67" t="b">
        <v>0</v>
      </c>
    </row>
    <row r="504" spans="1:7" ht="15">
      <c r="A504" s="136" t="s">
        <v>2080</v>
      </c>
      <c r="B504" s="67">
        <v>2</v>
      </c>
      <c r="C504" s="139">
        <v>0.009088023899422143</v>
      </c>
      <c r="D504" s="67" t="s">
        <v>808</v>
      </c>
      <c r="E504" s="67" t="b">
        <v>0</v>
      </c>
      <c r="F504" s="67" t="b">
        <v>0</v>
      </c>
      <c r="G504" s="67" t="b">
        <v>0</v>
      </c>
    </row>
    <row r="505" spans="1:7" ht="15">
      <c r="A505" s="136" t="s">
        <v>2090</v>
      </c>
      <c r="B505" s="67">
        <v>2</v>
      </c>
      <c r="C505" s="139">
        <v>0.009088023899422143</v>
      </c>
      <c r="D505" s="67" t="s">
        <v>808</v>
      </c>
      <c r="E505" s="67" t="b">
        <v>0</v>
      </c>
      <c r="F505" s="67" t="b">
        <v>0</v>
      </c>
      <c r="G505" s="67" t="b">
        <v>0</v>
      </c>
    </row>
    <row r="506" spans="1:7" ht="15">
      <c r="A506" s="136" t="s">
        <v>308</v>
      </c>
      <c r="B506" s="67">
        <v>2</v>
      </c>
      <c r="C506" s="139">
        <v>0.009088023899422143</v>
      </c>
      <c r="D506" s="67" t="s">
        <v>808</v>
      </c>
      <c r="E506" s="67" t="b">
        <v>0</v>
      </c>
      <c r="F506" s="67" t="b">
        <v>0</v>
      </c>
      <c r="G506" s="67" t="b">
        <v>0</v>
      </c>
    </row>
    <row r="507" spans="1:7" ht="15">
      <c r="A507" s="136" t="s">
        <v>2085</v>
      </c>
      <c r="B507" s="67">
        <v>2</v>
      </c>
      <c r="C507" s="139">
        <v>0.009088023899422143</v>
      </c>
      <c r="D507" s="67" t="s">
        <v>808</v>
      </c>
      <c r="E507" s="67" t="b">
        <v>0</v>
      </c>
      <c r="F507" s="67" t="b">
        <v>0</v>
      </c>
      <c r="G507" s="67" t="b">
        <v>0</v>
      </c>
    </row>
    <row r="508" spans="1:7" ht="15">
      <c r="A508" s="136" t="s">
        <v>1843</v>
      </c>
      <c r="B508" s="67">
        <v>2</v>
      </c>
      <c r="C508" s="139">
        <v>0</v>
      </c>
      <c r="D508" s="67" t="s">
        <v>809</v>
      </c>
      <c r="E508" s="67" t="b">
        <v>0</v>
      </c>
      <c r="F508" s="67" t="b">
        <v>0</v>
      </c>
      <c r="G508" s="67" t="b">
        <v>0</v>
      </c>
    </row>
    <row r="509" spans="1:7" ht="15">
      <c r="A509" s="136" t="s">
        <v>1844</v>
      </c>
      <c r="B509" s="67">
        <v>2</v>
      </c>
      <c r="C509" s="139">
        <v>0</v>
      </c>
      <c r="D509" s="67" t="s">
        <v>809</v>
      </c>
      <c r="E509" s="67" t="b">
        <v>0</v>
      </c>
      <c r="F509" s="67" t="b">
        <v>0</v>
      </c>
      <c r="G509" s="67" t="b">
        <v>0</v>
      </c>
    </row>
    <row r="510" spans="1:7" ht="15">
      <c r="A510" s="136" t="s">
        <v>1845</v>
      </c>
      <c r="B510" s="67">
        <v>2</v>
      </c>
      <c r="C510" s="139">
        <v>0</v>
      </c>
      <c r="D510" s="67" t="s">
        <v>809</v>
      </c>
      <c r="E510" s="67" t="b">
        <v>0</v>
      </c>
      <c r="F510" s="67" t="b">
        <v>0</v>
      </c>
      <c r="G510" s="67" t="b">
        <v>0</v>
      </c>
    </row>
    <row r="511" spans="1:7" ht="15">
      <c r="A511" s="136" t="s">
        <v>1846</v>
      </c>
      <c r="B511" s="67">
        <v>2</v>
      </c>
      <c r="C511" s="139">
        <v>0</v>
      </c>
      <c r="D511" s="67" t="s">
        <v>809</v>
      </c>
      <c r="E511" s="67" t="b">
        <v>0</v>
      </c>
      <c r="F511" s="67" t="b">
        <v>0</v>
      </c>
      <c r="G511" s="67" t="b">
        <v>0</v>
      </c>
    </row>
    <row r="512" spans="1:7" ht="15">
      <c r="A512" s="136" t="s">
        <v>317</v>
      </c>
      <c r="B512" s="67">
        <v>2</v>
      </c>
      <c r="C512" s="139">
        <v>0</v>
      </c>
      <c r="D512" s="67" t="s">
        <v>809</v>
      </c>
      <c r="E512" s="67" t="b">
        <v>0</v>
      </c>
      <c r="F512" s="67" t="b">
        <v>0</v>
      </c>
      <c r="G512" s="67" t="b">
        <v>0</v>
      </c>
    </row>
    <row r="513" spans="1:7" ht="15">
      <c r="A513" s="136" t="s">
        <v>1847</v>
      </c>
      <c r="B513" s="67">
        <v>2</v>
      </c>
      <c r="C513" s="139">
        <v>0</v>
      </c>
      <c r="D513" s="67" t="s">
        <v>809</v>
      </c>
      <c r="E513" s="67" t="b">
        <v>0</v>
      </c>
      <c r="F513" s="67" t="b">
        <v>0</v>
      </c>
      <c r="G513" s="67" t="b">
        <v>0</v>
      </c>
    </row>
    <row r="514" spans="1:7" ht="15">
      <c r="A514" s="136" t="s">
        <v>1789</v>
      </c>
      <c r="B514" s="67">
        <v>2</v>
      </c>
      <c r="C514" s="139">
        <v>0</v>
      </c>
      <c r="D514" s="67" t="s">
        <v>809</v>
      </c>
      <c r="E514" s="67" t="b">
        <v>0</v>
      </c>
      <c r="F514" s="67" t="b">
        <v>0</v>
      </c>
      <c r="G514" s="67" t="b">
        <v>0</v>
      </c>
    </row>
    <row r="515" spans="1:7" ht="15">
      <c r="A515" s="136" t="s">
        <v>1812</v>
      </c>
      <c r="B515" s="67">
        <v>2</v>
      </c>
      <c r="C515" s="139">
        <v>0</v>
      </c>
      <c r="D515" s="67" t="s">
        <v>809</v>
      </c>
      <c r="E515" s="67" t="b">
        <v>0</v>
      </c>
      <c r="F515" s="67" t="b">
        <v>0</v>
      </c>
      <c r="G515" s="67" t="b">
        <v>0</v>
      </c>
    </row>
    <row r="516" spans="1:7" ht="15">
      <c r="A516" s="136" t="s">
        <v>1848</v>
      </c>
      <c r="B516" s="67">
        <v>2</v>
      </c>
      <c r="C516" s="139">
        <v>0</v>
      </c>
      <c r="D516" s="67" t="s">
        <v>809</v>
      </c>
      <c r="E516" s="67" t="b">
        <v>0</v>
      </c>
      <c r="F516" s="67" t="b">
        <v>0</v>
      </c>
      <c r="G516" s="67" t="b">
        <v>0</v>
      </c>
    </row>
    <row r="517" spans="1:7" ht="15">
      <c r="A517" s="136" t="s">
        <v>1849</v>
      </c>
      <c r="B517" s="67">
        <v>2</v>
      </c>
      <c r="C517" s="139">
        <v>0</v>
      </c>
      <c r="D517" s="67" t="s">
        <v>809</v>
      </c>
      <c r="E517" s="67" t="b">
        <v>0</v>
      </c>
      <c r="F517" s="67" t="b">
        <v>0</v>
      </c>
      <c r="G517" s="67" t="b">
        <v>0</v>
      </c>
    </row>
    <row r="518" spans="1:7" ht="15">
      <c r="A518" s="136" t="s">
        <v>2227</v>
      </c>
      <c r="B518" s="67">
        <v>2</v>
      </c>
      <c r="C518" s="139">
        <v>0</v>
      </c>
      <c r="D518" s="67" t="s">
        <v>809</v>
      </c>
      <c r="E518" s="67" t="b">
        <v>0</v>
      </c>
      <c r="F518" s="67" t="b">
        <v>0</v>
      </c>
      <c r="G518" s="67" t="b">
        <v>0</v>
      </c>
    </row>
    <row r="519" spans="1:7" ht="15">
      <c r="A519" s="136" t="s">
        <v>1850</v>
      </c>
      <c r="B519" s="67">
        <v>2</v>
      </c>
      <c r="C519" s="139">
        <v>0</v>
      </c>
      <c r="D519" s="67" t="s">
        <v>810</v>
      </c>
      <c r="E519" s="67" t="b">
        <v>0</v>
      </c>
      <c r="F519" s="67" t="b">
        <v>0</v>
      </c>
      <c r="G519" s="67" t="b">
        <v>0</v>
      </c>
    </row>
    <row r="520" spans="1:7" ht="15">
      <c r="A520" s="136" t="s">
        <v>2108</v>
      </c>
      <c r="B520" s="67">
        <v>2</v>
      </c>
      <c r="C520" s="139">
        <v>0</v>
      </c>
      <c r="D520" s="67" t="s">
        <v>813</v>
      </c>
      <c r="E520" s="67" t="b">
        <v>0</v>
      </c>
      <c r="F520" s="67" t="b">
        <v>0</v>
      </c>
      <c r="G520" s="67" t="b">
        <v>0</v>
      </c>
    </row>
    <row r="521" spans="1:7" ht="15">
      <c r="A521" s="136" t="s">
        <v>2172</v>
      </c>
      <c r="B521" s="67">
        <v>2</v>
      </c>
      <c r="C521" s="139">
        <v>0</v>
      </c>
      <c r="D521" s="67" t="s">
        <v>813</v>
      </c>
      <c r="E521" s="67" t="b">
        <v>0</v>
      </c>
      <c r="F521" s="67" t="b">
        <v>0</v>
      </c>
      <c r="G521" s="67" t="b">
        <v>0</v>
      </c>
    </row>
    <row r="522" spans="1:7" ht="15">
      <c r="A522" s="136" t="s">
        <v>2095</v>
      </c>
      <c r="B522" s="67">
        <v>2</v>
      </c>
      <c r="C522" s="139">
        <v>0</v>
      </c>
      <c r="D522" s="67" t="s">
        <v>813</v>
      </c>
      <c r="E522" s="67" t="b">
        <v>0</v>
      </c>
      <c r="F522" s="67" t="b">
        <v>0</v>
      </c>
      <c r="G522" s="67" t="b">
        <v>0</v>
      </c>
    </row>
    <row r="523" spans="1:7" ht="15">
      <c r="A523" s="136" t="s">
        <v>2131</v>
      </c>
      <c r="B523" s="67">
        <v>2</v>
      </c>
      <c r="C523" s="139">
        <v>0</v>
      </c>
      <c r="D523" s="67" t="s">
        <v>813</v>
      </c>
      <c r="E523" s="67" t="b">
        <v>0</v>
      </c>
      <c r="F523" s="67" t="b">
        <v>0</v>
      </c>
      <c r="G523" s="67" t="b">
        <v>0</v>
      </c>
    </row>
    <row r="524" spans="1:7" ht="15">
      <c r="A524" s="136" t="s">
        <v>1859</v>
      </c>
      <c r="B524" s="67">
        <v>2</v>
      </c>
      <c r="C524" s="139">
        <v>0.021502142547427227</v>
      </c>
      <c r="D524" s="67" t="s">
        <v>814</v>
      </c>
      <c r="E524" s="67" t="b">
        <v>0</v>
      </c>
      <c r="F524" s="67" t="b">
        <v>0</v>
      </c>
      <c r="G524" s="6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v>
      </c>
      <c r="B1" s="13" t="s">
        <v>253</v>
      </c>
      <c r="C1" s="13" t="s">
        <v>250</v>
      </c>
      <c r="D1" s="13" t="s">
        <v>251</v>
      </c>
      <c r="E1" s="13" t="s">
        <v>254</v>
      </c>
      <c r="F1" s="13" t="s">
        <v>143</v>
      </c>
      <c r="G1" s="13" t="s">
        <v>665</v>
      </c>
      <c r="H1" s="13" t="s">
        <v>666</v>
      </c>
      <c r="I1" s="13" t="s">
        <v>667</v>
      </c>
      <c r="J1" s="13" t="s">
        <v>668</v>
      </c>
      <c r="K1" s="13" t="s">
        <v>669</v>
      </c>
      <c r="L1" s="13" t="s">
        <v>670</v>
      </c>
    </row>
    <row r="2" spans="1:12" ht="15">
      <c r="A2" s="67" t="s">
        <v>958</v>
      </c>
      <c r="B2" s="67" t="s">
        <v>1799</v>
      </c>
      <c r="C2" s="67">
        <v>14</v>
      </c>
      <c r="D2" s="139">
        <v>0.011779124248491828</v>
      </c>
      <c r="E2" s="139">
        <v>1.8171874757078732</v>
      </c>
      <c r="F2" s="67" t="s">
        <v>2234</v>
      </c>
      <c r="G2" s="67" t="b">
        <v>0</v>
      </c>
      <c r="H2" s="67" t="b">
        <v>0</v>
      </c>
      <c r="I2" s="67" t="b">
        <v>0</v>
      </c>
      <c r="J2" s="67" t="b">
        <v>0</v>
      </c>
      <c r="K2" s="67" t="b">
        <v>0</v>
      </c>
      <c r="L2" s="67" t="b">
        <v>0</v>
      </c>
    </row>
    <row r="3" spans="1:12" ht="15">
      <c r="A3" s="136" t="s">
        <v>1799</v>
      </c>
      <c r="B3" s="67" t="s">
        <v>1798</v>
      </c>
      <c r="C3" s="67">
        <v>14</v>
      </c>
      <c r="D3" s="139">
        <v>0.011779124248491828</v>
      </c>
      <c r="E3" s="139">
        <v>1.8171874757078732</v>
      </c>
      <c r="F3" s="67" t="s">
        <v>2234</v>
      </c>
      <c r="G3" s="67" t="b">
        <v>0</v>
      </c>
      <c r="H3" s="67" t="b">
        <v>0</v>
      </c>
      <c r="I3" s="67" t="b">
        <v>0</v>
      </c>
      <c r="J3" s="67" t="b">
        <v>0</v>
      </c>
      <c r="K3" s="67" t="b">
        <v>0</v>
      </c>
      <c r="L3" s="67" t="b">
        <v>0</v>
      </c>
    </row>
    <row r="4" spans="1:12" ht="15">
      <c r="A4" s="136" t="s">
        <v>1804</v>
      </c>
      <c r="B4" s="67" t="s">
        <v>1802</v>
      </c>
      <c r="C4" s="67">
        <v>6</v>
      </c>
      <c r="D4" s="139">
        <v>0.007212765431758817</v>
      </c>
      <c r="E4" s="139">
        <v>2.0602255243941676</v>
      </c>
      <c r="F4" s="67" t="s">
        <v>2234</v>
      </c>
      <c r="G4" s="67" t="b">
        <v>0</v>
      </c>
      <c r="H4" s="67" t="b">
        <v>0</v>
      </c>
      <c r="I4" s="67" t="b">
        <v>0</v>
      </c>
      <c r="J4" s="67" t="b">
        <v>0</v>
      </c>
      <c r="K4" s="67" t="b">
        <v>0</v>
      </c>
      <c r="L4" s="67" t="b">
        <v>0</v>
      </c>
    </row>
    <row r="5" spans="1:12" ht="15">
      <c r="A5" s="136" t="s">
        <v>1802</v>
      </c>
      <c r="B5" s="67" t="s">
        <v>1806</v>
      </c>
      <c r="C5" s="67">
        <v>6</v>
      </c>
      <c r="D5" s="139">
        <v>0.007212765431758817</v>
      </c>
      <c r="E5" s="139">
        <v>2.0602255243941676</v>
      </c>
      <c r="F5" s="67" t="s">
        <v>2234</v>
      </c>
      <c r="G5" s="67" t="b">
        <v>0</v>
      </c>
      <c r="H5" s="67" t="b">
        <v>0</v>
      </c>
      <c r="I5" s="67" t="b">
        <v>0</v>
      </c>
      <c r="J5" s="67" t="b">
        <v>0</v>
      </c>
      <c r="K5" s="67" t="b">
        <v>0</v>
      </c>
      <c r="L5" s="67" t="b">
        <v>0</v>
      </c>
    </row>
    <row r="6" spans="1:12" ht="15">
      <c r="A6" s="136" t="s">
        <v>1801</v>
      </c>
      <c r="B6" s="67" t="s">
        <v>1801</v>
      </c>
      <c r="C6" s="67">
        <v>6</v>
      </c>
      <c r="D6" s="139">
        <v>0.01001936104775683</v>
      </c>
      <c r="E6" s="139">
        <v>1.8329817428911053</v>
      </c>
      <c r="F6" s="67" t="s">
        <v>2234</v>
      </c>
      <c r="G6" s="67" t="b">
        <v>0</v>
      </c>
      <c r="H6" s="67" t="b">
        <v>0</v>
      </c>
      <c r="I6" s="67" t="b">
        <v>0</v>
      </c>
      <c r="J6" s="67" t="b">
        <v>0</v>
      </c>
      <c r="K6" s="67" t="b">
        <v>0</v>
      </c>
      <c r="L6" s="67" t="b">
        <v>0</v>
      </c>
    </row>
    <row r="7" spans="1:12" ht="15">
      <c r="A7" s="136" t="s">
        <v>1803</v>
      </c>
      <c r="B7" s="67" t="s">
        <v>1805</v>
      </c>
      <c r="C7" s="67">
        <v>5</v>
      </c>
      <c r="D7" s="139">
        <v>0.006398781222777567</v>
      </c>
      <c r="E7" s="139">
        <v>2.1851642610024675</v>
      </c>
      <c r="F7" s="67" t="s">
        <v>2234</v>
      </c>
      <c r="G7" s="67" t="b">
        <v>0</v>
      </c>
      <c r="H7" s="67" t="b">
        <v>0</v>
      </c>
      <c r="I7" s="67" t="b">
        <v>0</v>
      </c>
      <c r="J7" s="67" t="b">
        <v>0</v>
      </c>
      <c r="K7" s="67" t="b">
        <v>0</v>
      </c>
      <c r="L7" s="67" t="b">
        <v>0</v>
      </c>
    </row>
    <row r="8" spans="1:12" ht="15">
      <c r="A8" s="136" t="s">
        <v>1808</v>
      </c>
      <c r="B8" s="67" t="s">
        <v>1804</v>
      </c>
      <c r="C8" s="67">
        <v>4</v>
      </c>
      <c r="D8" s="139">
        <v>0.005499064244920314</v>
      </c>
      <c r="E8" s="139">
        <v>2.0602255243941676</v>
      </c>
      <c r="F8" s="67" t="s">
        <v>2234</v>
      </c>
      <c r="G8" s="67" t="b">
        <v>0</v>
      </c>
      <c r="H8" s="67" t="b">
        <v>0</v>
      </c>
      <c r="I8" s="67" t="b">
        <v>0</v>
      </c>
      <c r="J8" s="67" t="b">
        <v>0</v>
      </c>
      <c r="K8" s="67" t="b">
        <v>0</v>
      </c>
      <c r="L8" s="67" t="b">
        <v>0</v>
      </c>
    </row>
    <row r="9" spans="1:12" ht="15">
      <c r="A9" s="136" t="s">
        <v>1825</v>
      </c>
      <c r="B9" s="67" t="s">
        <v>1824</v>
      </c>
      <c r="C9" s="67">
        <v>4</v>
      </c>
      <c r="D9" s="139">
        <v>0.006679574031837888</v>
      </c>
      <c r="E9" s="139">
        <v>2.361255520058149</v>
      </c>
      <c r="F9" s="67" t="s">
        <v>2234</v>
      </c>
      <c r="G9" s="67" t="b">
        <v>0</v>
      </c>
      <c r="H9" s="67" t="b">
        <v>0</v>
      </c>
      <c r="I9" s="67" t="b">
        <v>0</v>
      </c>
      <c r="J9" s="67" t="b">
        <v>0</v>
      </c>
      <c r="K9" s="67" t="b">
        <v>0</v>
      </c>
      <c r="L9" s="67" t="b">
        <v>0</v>
      </c>
    </row>
    <row r="10" spans="1:12" ht="15">
      <c r="A10" s="136" t="s">
        <v>963</v>
      </c>
      <c r="B10" s="67" t="s">
        <v>1803</v>
      </c>
      <c r="C10" s="67">
        <v>3</v>
      </c>
      <c r="D10" s="139">
        <v>0.004491765056067588</v>
      </c>
      <c r="E10" s="139">
        <v>1.5831042696745052</v>
      </c>
      <c r="F10" s="67" t="s">
        <v>2234</v>
      </c>
      <c r="G10" s="67" t="b">
        <v>0</v>
      </c>
      <c r="H10" s="67" t="b">
        <v>0</v>
      </c>
      <c r="I10" s="67" t="b">
        <v>0</v>
      </c>
      <c r="J10" s="67" t="b">
        <v>0</v>
      </c>
      <c r="K10" s="67" t="b">
        <v>0</v>
      </c>
      <c r="L10" s="67" t="b">
        <v>0</v>
      </c>
    </row>
    <row r="11" spans="1:12" ht="15">
      <c r="A11" s="136" t="s">
        <v>1810</v>
      </c>
      <c r="B11" s="67" t="s">
        <v>1811</v>
      </c>
      <c r="C11" s="67">
        <v>3</v>
      </c>
      <c r="D11" s="139">
        <v>0.004491765056067588</v>
      </c>
      <c r="E11" s="139">
        <v>2.361255520058149</v>
      </c>
      <c r="F11" s="67" t="s">
        <v>2234</v>
      </c>
      <c r="G11" s="67" t="b">
        <v>0</v>
      </c>
      <c r="H11" s="67" t="b">
        <v>0</v>
      </c>
      <c r="I11" s="67" t="b">
        <v>0</v>
      </c>
      <c r="J11" s="67" t="b">
        <v>0</v>
      </c>
      <c r="K11" s="67" t="b">
        <v>0</v>
      </c>
      <c r="L11" s="67" t="b">
        <v>0</v>
      </c>
    </row>
    <row r="12" spans="1:12" ht="15">
      <c r="A12" s="136" t="s">
        <v>929</v>
      </c>
      <c r="B12" s="67" t="s">
        <v>958</v>
      </c>
      <c r="C12" s="67">
        <v>3</v>
      </c>
      <c r="D12" s="139">
        <v>0.004491765056067588</v>
      </c>
      <c r="E12" s="139">
        <v>1.516157480043892</v>
      </c>
      <c r="F12" s="67" t="s">
        <v>2234</v>
      </c>
      <c r="G12" s="67" t="b">
        <v>0</v>
      </c>
      <c r="H12" s="67" t="b">
        <v>0</v>
      </c>
      <c r="I12" s="67" t="b">
        <v>0</v>
      </c>
      <c r="J12" s="67" t="b">
        <v>0</v>
      </c>
      <c r="K12" s="67" t="b">
        <v>0</v>
      </c>
      <c r="L12" s="67" t="b">
        <v>0</v>
      </c>
    </row>
    <row r="13" spans="1:12" ht="15">
      <c r="A13" s="136" t="s">
        <v>2207</v>
      </c>
      <c r="B13" s="67" t="s">
        <v>2152</v>
      </c>
      <c r="C13" s="67">
        <v>2</v>
      </c>
      <c r="D13" s="139">
        <v>0.003339787015918944</v>
      </c>
      <c r="E13" s="139">
        <v>2.66228551572213</v>
      </c>
      <c r="F13" s="67" t="s">
        <v>2234</v>
      </c>
      <c r="G13" s="67" t="b">
        <v>0</v>
      </c>
      <c r="H13" s="67" t="b">
        <v>0</v>
      </c>
      <c r="I13" s="67" t="b">
        <v>0</v>
      </c>
      <c r="J13" s="67" t="b">
        <v>0</v>
      </c>
      <c r="K13" s="67" t="b">
        <v>0</v>
      </c>
      <c r="L13" s="67" t="b">
        <v>0</v>
      </c>
    </row>
    <row r="14" spans="1:12" ht="15">
      <c r="A14" s="136" t="s">
        <v>2116</v>
      </c>
      <c r="B14" s="67" t="s">
        <v>2059</v>
      </c>
      <c r="C14" s="67">
        <v>2</v>
      </c>
      <c r="D14" s="139">
        <v>0.003339787015918944</v>
      </c>
      <c r="E14" s="139">
        <v>2.4861942566664488</v>
      </c>
      <c r="F14" s="67" t="s">
        <v>2234</v>
      </c>
      <c r="G14" s="67" t="b">
        <v>0</v>
      </c>
      <c r="H14" s="67" t="b">
        <v>0</v>
      </c>
      <c r="I14" s="67" t="b">
        <v>0</v>
      </c>
      <c r="J14" s="67" t="b">
        <v>0</v>
      </c>
      <c r="K14" s="67" t="b">
        <v>0</v>
      </c>
      <c r="L14" s="67" t="b">
        <v>0</v>
      </c>
    </row>
    <row r="15" spans="1:12" ht="15">
      <c r="A15" s="136" t="s">
        <v>1828</v>
      </c>
      <c r="B15" s="67" t="s">
        <v>2214</v>
      </c>
      <c r="C15" s="67">
        <v>2</v>
      </c>
      <c r="D15" s="139">
        <v>0.003339787015918944</v>
      </c>
      <c r="E15" s="139">
        <v>2.66228551572213</v>
      </c>
      <c r="F15" s="67" t="s">
        <v>2234</v>
      </c>
      <c r="G15" s="67" t="b">
        <v>0</v>
      </c>
      <c r="H15" s="67" t="b">
        <v>0</v>
      </c>
      <c r="I15" s="67" t="b">
        <v>0</v>
      </c>
      <c r="J15" s="67" t="b">
        <v>0</v>
      </c>
      <c r="K15" s="67" t="b">
        <v>0</v>
      </c>
      <c r="L15" s="67" t="b">
        <v>0</v>
      </c>
    </row>
    <row r="16" spans="1:12" ht="15">
      <c r="A16" s="136" t="s">
        <v>2197</v>
      </c>
      <c r="B16" s="67" t="s">
        <v>1807</v>
      </c>
      <c r="C16" s="67">
        <v>2</v>
      </c>
      <c r="D16" s="139">
        <v>0.003339787015918944</v>
      </c>
      <c r="E16" s="139">
        <v>2.361255520058149</v>
      </c>
      <c r="F16" s="67" t="s">
        <v>2234</v>
      </c>
      <c r="G16" s="67" t="b">
        <v>0</v>
      </c>
      <c r="H16" s="67" t="b">
        <v>0</v>
      </c>
      <c r="I16" s="67" t="b">
        <v>0</v>
      </c>
      <c r="J16" s="67" t="b">
        <v>0</v>
      </c>
      <c r="K16" s="67" t="b">
        <v>0</v>
      </c>
      <c r="L16" s="67" t="b">
        <v>0</v>
      </c>
    </row>
    <row r="17" spans="1:12" ht="15">
      <c r="A17" s="136" t="s">
        <v>926</v>
      </c>
      <c r="B17" s="67" t="s">
        <v>958</v>
      </c>
      <c r="C17" s="67">
        <v>2</v>
      </c>
      <c r="D17" s="139">
        <v>0.003339787015918944</v>
      </c>
      <c r="E17" s="139">
        <v>1.641096216652192</v>
      </c>
      <c r="F17" s="67" t="s">
        <v>2234</v>
      </c>
      <c r="G17" s="67" t="b">
        <v>0</v>
      </c>
      <c r="H17" s="67" t="b">
        <v>0</v>
      </c>
      <c r="I17" s="67" t="b">
        <v>0</v>
      </c>
      <c r="J17" s="67" t="b">
        <v>0</v>
      </c>
      <c r="K17" s="67" t="b">
        <v>0</v>
      </c>
      <c r="L17" s="67" t="b">
        <v>0</v>
      </c>
    </row>
    <row r="18" spans="1:12" ht="15">
      <c r="A18" s="136" t="s">
        <v>2078</v>
      </c>
      <c r="B18" s="67" t="s">
        <v>1816</v>
      </c>
      <c r="C18" s="67">
        <v>2</v>
      </c>
      <c r="D18" s="139">
        <v>0.003339787015918944</v>
      </c>
      <c r="E18" s="139">
        <v>2.4861942566664488</v>
      </c>
      <c r="F18" s="67" t="s">
        <v>2234</v>
      </c>
      <c r="G18" s="67" t="b">
        <v>0</v>
      </c>
      <c r="H18" s="67" t="b">
        <v>0</v>
      </c>
      <c r="I18" s="67" t="b">
        <v>0</v>
      </c>
      <c r="J18" s="67" t="b">
        <v>0</v>
      </c>
      <c r="K18" s="67" t="b">
        <v>0</v>
      </c>
      <c r="L18" s="67" t="b">
        <v>0</v>
      </c>
    </row>
    <row r="19" spans="1:12" ht="15">
      <c r="A19" s="136" t="s">
        <v>2069</v>
      </c>
      <c r="B19" s="67" t="s">
        <v>2146</v>
      </c>
      <c r="C19" s="67">
        <v>2</v>
      </c>
      <c r="D19" s="139">
        <v>0.003339787015918944</v>
      </c>
      <c r="E19" s="139">
        <v>2.66228551572213</v>
      </c>
      <c r="F19" s="67" t="s">
        <v>2234</v>
      </c>
      <c r="G19" s="67" t="b">
        <v>0</v>
      </c>
      <c r="H19" s="67" t="b">
        <v>0</v>
      </c>
      <c r="I19" s="67" t="b">
        <v>0</v>
      </c>
      <c r="J19" s="67" t="b">
        <v>0</v>
      </c>
      <c r="K19" s="67" t="b">
        <v>0</v>
      </c>
      <c r="L19" s="67" t="b">
        <v>0</v>
      </c>
    </row>
    <row r="20" spans="1:12" ht="15">
      <c r="A20" s="136" t="s">
        <v>2102</v>
      </c>
      <c r="B20" s="67" t="s">
        <v>2097</v>
      </c>
      <c r="C20" s="67">
        <v>2</v>
      </c>
      <c r="D20" s="139">
        <v>0.003339787015918944</v>
      </c>
      <c r="E20" s="139">
        <v>2.66228551572213</v>
      </c>
      <c r="F20" s="67" t="s">
        <v>2234</v>
      </c>
      <c r="G20" s="67" t="b">
        <v>0</v>
      </c>
      <c r="H20" s="67" t="b">
        <v>0</v>
      </c>
      <c r="I20" s="67" t="b">
        <v>0</v>
      </c>
      <c r="J20" s="67" t="b">
        <v>0</v>
      </c>
      <c r="K20" s="67" t="b">
        <v>0</v>
      </c>
      <c r="L20" s="67" t="b">
        <v>0</v>
      </c>
    </row>
    <row r="21" spans="1:12" ht="15">
      <c r="A21" s="136" t="s">
        <v>2140</v>
      </c>
      <c r="B21" s="67" t="s">
        <v>2094</v>
      </c>
      <c r="C21" s="67">
        <v>2</v>
      </c>
      <c r="D21" s="139">
        <v>0.003339787015918944</v>
      </c>
      <c r="E21" s="139">
        <v>2.66228551572213</v>
      </c>
      <c r="F21" s="67" t="s">
        <v>2234</v>
      </c>
      <c r="G21" s="67" t="b">
        <v>0</v>
      </c>
      <c r="H21" s="67" t="b">
        <v>0</v>
      </c>
      <c r="I21" s="67" t="b">
        <v>0</v>
      </c>
      <c r="J21" s="67" t="b">
        <v>0</v>
      </c>
      <c r="K21" s="67" t="b">
        <v>0</v>
      </c>
      <c r="L21" s="67" t="b">
        <v>0</v>
      </c>
    </row>
    <row r="22" spans="1:12" ht="15">
      <c r="A22" s="136" t="s">
        <v>1830</v>
      </c>
      <c r="B22" s="67" t="s">
        <v>1835</v>
      </c>
      <c r="C22" s="67">
        <v>2</v>
      </c>
      <c r="D22" s="139">
        <v>0.003339787015918944</v>
      </c>
      <c r="E22" s="139">
        <v>1.9633155113861114</v>
      </c>
      <c r="F22" s="67" t="s">
        <v>2234</v>
      </c>
      <c r="G22" s="67" t="b">
        <v>0</v>
      </c>
      <c r="H22" s="67" t="b">
        <v>0</v>
      </c>
      <c r="I22" s="67" t="b">
        <v>0</v>
      </c>
      <c r="J22" s="67" t="b">
        <v>0</v>
      </c>
      <c r="K22" s="67" t="b">
        <v>0</v>
      </c>
      <c r="L22" s="67" t="b">
        <v>0</v>
      </c>
    </row>
    <row r="23" spans="1:12" ht="15">
      <c r="A23" s="136" t="s">
        <v>1838</v>
      </c>
      <c r="B23" s="67" t="s">
        <v>2212</v>
      </c>
      <c r="C23" s="67">
        <v>2</v>
      </c>
      <c r="D23" s="139">
        <v>0.003339787015918944</v>
      </c>
      <c r="E23" s="139">
        <v>2.361255520058149</v>
      </c>
      <c r="F23" s="67" t="s">
        <v>2234</v>
      </c>
      <c r="G23" s="67" t="b">
        <v>0</v>
      </c>
      <c r="H23" s="67" t="b">
        <v>0</v>
      </c>
      <c r="I23" s="67" t="b">
        <v>0</v>
      </c>
      <c r="J23" s="67" t="b">
        <v>0</v>
      </c>
      <c r="K23" s="67" t="b">
        <v>0</v>
      </c>
      <c r="L23" s="67" t="b">
        <v>0</v>
      </c>
    </row>
    <row r="24" spans="1:12" ht="15">
      <c r="A24" s="136" t="s">
        <v>2119</v>
      </c>
      <c r="B24" s="67" t="s">
        <v>1821</v>
      </c>
      <c r="C24" s="67">
        <v>2</v>
      </c>
      <c r="D24" s="139">
        <v>0.003339787015918944</v>
      </c>
      <c r="E24" s="139">
        <v>2.66228551572213</v>
      </c>
      <c r="F24" s="67" t="s">
        <v>2234</v>
      </c>
      <c r="G24" s="67" t="b">
        <v>0</v>
      </c>
      <c r="H24" s="67" t="b">
        <v>0</v>
      </c>
      <c r="I24" s="67" t="b">
        <v>0</v>
      </c>
      <c r="J24" s="67" t="b">
        <v>0</v>
      </c>
      <c r="K24" s="67" t="b">
        <v>0</v>
      </c>
      <c r="L24" s="67" t="b">
        <v>0</v>
      </c>
    </row>
    <row r="25" spans="1:12" ht="15">
      <c r="A25" s="136" t="s">
        <v>1833</v>
      </c>
      <c r="B25" s="67" t="s">
        <v>2160</v>
      </c>
      <c r="C25" s="67">
        <v>2</v>
      </c>
      <c r="D25" s="139">
        <v>0.003339787015918944</v>
      </c>
      <c r="E25" s="139">
        <v>2.4861942566664488</v>
      </c>
      <c r="F25" s="67" t="s">
        <v>2234</v>
      </c>
      <c r="G25" s="67" t="b">
        <v>0</v>
      </c>
      <c r="H25" s="67" t="b">
        <v>0</v>
      </c>
      <c r="I25" s="67" t="b">
        <v>0</v>
      </c>
      <c r="J25" s="67" t="b">
        <v>0</v>
      </c>
      <c r="K25" s="67" t="b">
        <v>0</v>
      </c>
      <c r="L25" s="67" t="b">
        <v>0</v>
      </c>
    </row>
    <row r="26" spans="1:12" ht="15">
      <c r="A26" s="136" t="s">
        <v>2092</v>
      </c>
      <c r="B26" s="67" t="s">
        <v>2132</v>
      </c>
      <c r="C26" s="67">
        <v>2</v>
      </c>
      <c r="D26" s="139">
        <v>0.003339787015918944</v>
      </c>
      <c r="E26" s="139">
        <v>2.66228551572213</v>
      </c>
      <c r="F26" s="67" t="s">
        <v>2234</v>
      </c>
      <c r="G26" s="67" t="b">
        <v>0</v>
      </c>
      <c r="H26" s="67" t="b">
        <v>0</v>
      </c>
      <c r="I26" s="67" t="b">
        <v>0</v>
      </c>
      <c r="J26" s="67" t="b">
        <v>0</v>
      </c>
      <c r="K26" s="67" t="b">
        <v>0</v>
      </c>
      <c r="L26" s="67" t="b">
        <v>0</v>
      </c>
    </row>
    <row r="27" spans="1:12" ht="15">
      <c r="A27" s="136" t="s">
        <v>1817</v>
      </c>
      <c r="B27" s="67" t="s">
        <v>2171</v>
      </c>
      <c r="C27" s="67">
        <v>2</v>
      </c>
      <c r="D27" s="139">
        <v>0.003339787015918944</v>
      </c>
      <c r="E27" s="139">
        <v>2.66228551572213</v>
      </c>
      <c r="F27" s="67" t="s">
        <v>2234</v>
      </c>
      <c r="G27" s="67" t="b">
        <v>0</v>
      </c>
      <c r="H27" s="67" t="b">
        <v>0</v>
      </c>
      <c r="I27" s="67" t="b">
        <v>0</v>
      </c>
      <c r="J27" s="67" t="b">
        <v>0</v>
      </c>
      <c r="K27" s="67" t="b">
        <v>0</v>
      </c>
      <c r="L27" s="67" t="b">
        <v>0</v>
      </c>
    </row>
    <row r="28" spans="1:12" ht="15">
      <c r="A28" s="136" t="s">
        <v>333</v>
      </c>
      <c r="B28" s="67" t="s">
        <v>942</v>
      </c>
      <c r="C28" s="67">
        <v>2</v>
      </c>
      <c r="D28" s="139">
        <v>0.003339787015918944</v>
      </c>
      <c r="E28" s="139">
        <v>2.361255520058149</v>
      </c>
      <c r="F28" s="67" t="s">
        <v>2234</v>
      </c>
      <c r="G28" s="67" t="b">
        <v>0</v>
      </c>
      <c r="H28" s="67" t="b">
        <v>0</v>
      </c>
      <c r="I28" s="67" t="b">
        <v>0</v>
      </c>
      <c r="J28" s="67" t="b">
        <v>0</v>
      </c>
      <c r="K28" s="67" t="b">
        <v>0</v>
      </c>
      <c r="L28" s="67" t="b">
        <v>0</v>
      </c>
    </row>
    <row r="29" spans="1:12" ht="15">
      <c r="A29" s="136" t="s">
        <v>2200</v>
      </c>
      <c r="B29" s="67" t="s">
        <v>2073</v>
      </c>
      <c r="C29" s="67">
        <v>2</v>
      </c>
      <c r="D29" s="139">
        <v>0.003339787015918944</v>
      </c>
      <c r="E29" s="139">
        <v>2.66228551572213</v>
      </c>
      <c r="F29" s="67" t="s">
        <v>2234</v>
      </c>
      <c r="G29" s="67" t="b">
        <v>0</v>
      </c>
      <c r="H29" s="67" t="b">
        <v>0</v>
      </c>
      <c r="I29" s="67" t="b">
        <v>0</v>
      </c>
      <c r="J29" s="67" t="b">
        <v>0</v>
      </c>
      <c r="K29" s="67" t="b">
        <v>0</v>
      </c>
      <c r="L29" s="67" t="b">
        <v>0</v>
      </c>
    </row>
    <row r="30" spans="1:12" ht="15">
      <c r="A30" s="136" t="s">
        <v>2157</v>
      </c>
      <c r="B30" s="67" t="s">
        <v>2134</v>
      </c>
      <c r="C30" s="67">
        <v>2</v>
      </c>
      <c r="D30" s="139">
        <v>0.003339787015918944</v>
      </c>
      <c r="E30" s="139">
        <v>2.66228551572213</v>
      </c>
      <c r="F30" s="67" t="s">
        <v>2234</v>
      </c>
      <c r="G30" s="67" t="b">
        <v>0</v>
      </c>
      <c r="H30" s="67" t="b">
        <v>0</v>
      </c>
      <c r="I30" s="67" t="b">
        <v>0</v>
      </c>
      <c r="J30" s="67" t="b">
        <v>0</v>
      </c>
      <c r="K30" s="67" t="b">
        <v>0</v>
      </c>
      <c r="L30" s="67" t="b">
        <v>0</v>
      </c>
    </row>
    <row r="31" spans="1:12" ht="15">
      <c r="A31" s="136" t="s">
        <v>2079</v>
      </c>
      <c r="B31" s="67" t="s">
        <v>2186</v>
      </c>
      <c r="C31" s="67">
        <v>2</v>
      </c>
      <c r="D31" s="139">
        <v>0.003339787015918944</v>
      </c>
      <c r="E31" s="139">
        <v>2.66228551572213</v>
      </c>
      <c r="F31" s="67" t="s">
        <v>2234</v>
      </c>
      <c r="G31" s="67" t="b">
        <v>0</v>
      </c>
      <c r="H31" s="67" t="b">
        <v>0</v>
      </c>
      <c r="I31" s="67" t="b">
        <v>0</v>
      </c>
      <c r="J31" s="67" t="b">
        <v>0</v>
      </c>
      <c r="K31" s="67" t="b">
        <v>0</v>
      </c>
      <c r="L31" s="67" t="b">
        <v>0</v>
      </c>
    </row>
    <row r="32" spans="1:12" ht="15">
      <c r="A32" s="136" t="s">
        <v>2087</v>
      </c>
      <c r="B32" s="67" t="s">
        <v>2062</v>
      </c>
      <c r="C32" s="67">
        <v>2</v>
      </c>
      <c r="D32" s="139">
        <v>0.003339787015918944</v>
      </c>
      <c r="E32" s="139">
        <v>2.4861942566664488</v>
      </c>
      <c r="F32" s="67" t="s">
        <v>2234</v>
      </c>
      <c r="G32" s="67" t="b">
        <v>0</v>
      </c>
      <c r="H32" s="67" t="b">
        <v>0</v>
      </c>
      <c r="I32" s="67" t="b">
        <v>0</v>
      </c>
      <c r="J32" s="67" t="b">
        <v>0</v>
      </c>
      <c r="K32" s="67" t="b">
        <v>0</v>
      </c>
      <c r="L32" s="67" t="b">
        <v>0</v>
      </c>
    </row>
    <row r="33" spans="1:12" ht="15">
      <c r="A33" s="136" t="s">
        <v>2224</v>
      </c>
      <c r="B33" s="67" t="s">
        <v>2215</v>
      </c>
      <c r="C33" s="67">
        <v>2</v>
      </c>
      <c r="D33" s="139">
        <v>0.003339787015918944</v>
      </c>
      <c r="E33" s="139">
        <v>2.66228551572213</v>
      </c>
      <c r="F33" s="67" t="s">
        <v>2234</v>
      </c>
      <c r="G33" s="67" t="b">
        <v>0</v>
      </c>
      <c r="H33" s="67" t="b">
        <v>0</v>
      </c>
      <c r="I33" s="67" t="b">
        <v>0</v>
      </c>
      <c r="J33" s="67" t="b">
        <v>0</v>
      </c>
      <c r="K33" s="67" t="b">
        <v>0</v>
      </c>
      <c r="L33" s="67" t="b">
        <v>0</v>
      </c>
    </row>
    <row r="34" spans="1:12" ht="15">
      <c r="A34" s="136" t="s">
        <v>2143</v>
      </c>
      <c r="B34" s="67" t="s">
        <v>2223</v>
      </c>
      <c r="C34" s="67">
        <v>2</v>
      </c>
      <c r="D34" s="139">
        <v>0.003339787015918944</v>
      </c>
      <c r="E34" s="139">
        <v>2.66228551572213</v>
      </c>
      <c r="F34" s="67" t="s">
        <v>2234</v>
      </c>
      <c r="G34" s="67" t="b">
        <v>0</v>
      </c>
      <c r="H34" s="67" t="b">
        <v>0</v>
      </c>
      <c r="I34" s="67" t="b">
        <v>0</v>
      </c>
      <c r="J34" s="67" t="b">
        <v>0</v>
      </c>
      <c r="K34" s="67" t="b">
        <v>0</v>
      </c>
      <c r="L34" s="67" t="b">
        <v>0</v>
      </c>
    </row>
    <row r="35" spans="1:12" ht="15">
      <c r="A35" s="136" t="s">
        <v>2130</v>
      </c>
      <c r="B35" s="67" t="s">
        <v>2063</v>
      </c>
      <c r="C35" s="67">
        <v>2</v>
      </c>
      <c r="D35" s="139">
        <v>0.003339787015918944</v>
      </c>
      <c r="E35" s="139">
        <v>2.4861942566664488</v>
      </c>
      <c r="F35" s="67" t="s">
        <v>2234</v>
      </c>
      <c r="G35" s="67" t="b">
        <v>0</v>
      </c>
      <c r="H35" s="67" t="b">
        <v>0</v>
      </c>
      <c r="I35" s="67" t="b">
        <v>0</v>
      </c>
      <c r="J35" s="67" t="b">
        <v>0</v>
      </c>
      <c r="K35" s="67" t="b">
        <v>0</v>
      </c>
      <c r="L35" s="67" t="b">
        <v>0</v>
      </c>
    </row>
    <row r="36" spans="1:12" ht="15">
      <c r="A36" s="136" t="s">
        <v>2162</v>
      </c>
      <c r="B36" s="67" t="s">
        <v>2194</v>
      </c>
      <c r="C36" s="67">
        <v>2</v>
      </c>
      <c r="D36" s="139">
        <v>0.003339787015918944</v>
      </c>
      <c r="E36" s="139">
        <v>2.66228551572213</v>
      </c>
      <c r="F36" s="67" t="s">
        <v>2234</v>
      </c>
      <c r="G36" s="67" t="b">
        <v>0</v>
      </c>
      <c r="H36" s="67" t="b">
        <v>0</v>
      </c>
      <c r="I36" s="67" t="b">
        <v>0</v>
      </c>
      <c r="J36" s="67" t="b">
        <v>0</v>
      </c>
      <c r="K36" s="67" t="b">
        <v>0</v>
      </c>
      <c r="L36" s="67" t="b">
        <v>0</v>
      </c>
    </row>
    <row r="37" spans="1:12" ht="15">
      <c r="A37" s="136" t="s">
        <v>957</v>
      </c>
      <c r="B37" s="67" t="s">
        <v>958</v>
      </c>
      <c r="C37" s="67">
        <v>2</v>
      </c>
      <c r="D37" s="139">
        <v>0.003339787015918944</v>
      </c>
      <c r="E37" s="139">
        <v>1.8171874757078732</v>
      </c>
      <c r="F37" s="67" t="s">
        <v>2234</v>
      </c>
      <c r="G37" s="67" t="b">
        <v>0</v>
      </c>
      <c r="H37" s="67" t="b">
        <v>0</v>
      </c>
      <c r="I37" s="67" t="b">
        <v>0</v>
      </c>
      <c r="J37" s="67" t="b">
        <v>0</v>
      </c>
      <c r="K37" s="67" t="b">
        <v>0</v>
      </c>
      <c r="L37" s="67" t="b">
        <v>0</v>
      </c>
    </row>
    <row r="38" spans="1:12" ht="15">
      <c r="A38" s="136" t="s">
        <v>2170</v>
      </c>
      <c r="B38" s="67" t="s">
        <v>2068</v>
      </c>
      <c r="C38" s="67">
        <v>2</v>
      </c>
      <c r="D38" s="139">
        <v>0.003339787015918944</v>
      </c>
      <c r="E38" s="139">
        <v>2.66228551572213</v>
      </c>
      <c r="F38" s="67" t="s">
        <v>2234</v>
      </c>
      <c r="G38" s="67" t="b">
        <v>0</v>
      </c>
      <c r="H38" s="67" t="b">
        <v>0</v>
      </c>
      <c r="I38" s="67" t="b">
        <v>0</v>
      </c>
      <c r="J38" s="67" t="b">
        <v>0</v>
      </c>
      <c r="K38" s="67" t="b">
        <v>0</v>
      </c>
      <c r="L38" s="67" t="b">
        <v>0</v>
      </c>
    </row>
    <row r="39" spans="1:12" ht="15">
      <c r="A39" s="136" t="s">
        <v>2117</v>
      </c>
      <c r="B39" s="67" t="s">
        <v>2154</v>
      </c>
      <c r="C39" s="67">
        <v>2</v>
      </c>
      <c r="D39" s="139">
        <v>0.003339787015918944</v>
      </c>
      <c r="E39" s="139">
        <v>2.66228551572213</v>
      </c>
      <c r="F39" s="67" t="s">
        <v>2234</v>
      </c>
      <c r="G39" s="67" t="b">
        <v>0</v>
      </c>
      <c r="H39" s="67" t="b">
        <v>0</v>
      </c>
      <c r="I39" s="67" t="b">
        <v>0</v>
      </c>
      <c r="J39" s="67" t="b">
        <v>0</v>
      </c>
      <c r="K39" s="67" t="b">
        <v>0</v>
      </c>
      <c r="L39" s="67" t="b">
        <v>0</v>
      </c>
    </row>
    <row r="40" spans="1:12" ht="15">
      <c r="A40" s="136" t="s">
        <v>1812</v>
      </c>
      <c r="B40" s="67" t="s">
        <v>1789</v>
      </c>
      <c r="C40" s="67">
        <v>2</v>
      </c>
      <c r="D40" s="139">
        <v>0.003339787015918944</v>
      </c>
      <c r="E40" s="139">
        <v>2.0882542479944113</v>
      </c>
      <c r="F40" s="67" t="s">
        <v>2234</v>
      </c>
      <c r="G40" s="67" t="b">
        <v>0</v>
      </c>
      <c r="H40" s="67" t="b">
        <v>0</v>
      </c>
      <c r="I40" s="67" t="b">
        <v>0</v>
      </c>
      <c r="J40" s="67" t="b">
        <v>0</v>
      </c>
      <c r="K40" s="67" t="b">
        <v>0</v>
      </c>
      <c r="L40" s="67" t="b">
        <v>0</v>
      </c>
    </row>
    <row r="41" spans="1:12" ht="15">
      <c r="A41" s="136" t="s">
        <v>2072</v>
      </c>
      <c r="B41" s="67" t="s">
        <v>2191</v>
      </c>
      <c r="C41" s="67">
        <v>2</v>
      </c>
      <c r="D41" s="139">
        <v>0.003339787015918944</v>
      </c>
      <c r="E41" s="139">
        <v>2.66228551572213</v>
      </c>
      <c r="F41" s="67" t="s">
        <v>2234</v>
      </c>
      <c r="G41" s="67" t="b">
        <v>0</v>
      </c>
      <c r="H41" s="67" t="b">
        <v>0</v>
      </c>
      <c r="I41" s="67" t="b">
        <v>0</v>
      </c>
      <c r="J41" s="67" t="b">
        <v>0</v>
      </c>
      <c r="K41" s="67" t="b">
        <v>0</v>
      </c>
      <c r="L41" s="67" t="b">
        <v>0</v>
      </c>
    </row>
    <row r="42" spans="1:12" ht="15">
      <c r="A42" s="136" t="s">
        <v>1837</v>
      </c>
      <c r="B42" s="67" t="s">
        <v>1840</v>
      </c>
      <c r="C42" s="67">
        <v>2</v>
      </c>
      <c r="D42" s="139">
        <v>0.003339787015918944</v>
      </c>
      <c r="E42" s="139">
        <v>2.66228551572213</v>
      </c>
      <c r="F42" s="67" t="s">
        <v>2234</v>
      </c>
      <c r="G42" s="67" t="b">
        <v>0</v>
      </c>
      <c r="H42" s="67" t="b">
        <v>0</v>
      </c>
      <c r="I42" s="67" t="b">
        <v>0</v>
      </c>
      <c r="J42" s="67" t="b">
        <v>0</v>
      </c>
      <c r="K42" s="67" t="b">
        <v>0</v>
      </c>
      <c r="L42" s="67" t="b">
        <v>0</v>
      </c>
    </row>
    <row r="43" spans="1:12" ht="15">
      <c r="A43" s="136" t="s">
        <v>2074</v>
      </c>
      <c r="B43" s="67" t="s">
        <v>1833</v>
      </c>
      <c r="C43" s="67">
        <v>2</v>
      </c>
      <c r="D43" s="139">
        <v>0.003339787015918944</v>
      </c>
      <c r="E43" s="139">
        <v>2.4861942566664488</v>
      </c>
      <c r="F43" s="67" t="s">
        <v>2234</v>
      </c>
      <c r="G43" s="67" t="b">
        <v>0</v>
      </c>
      <c r="H43" s="67" t="b">
        <v>0</v>
      </c>
      <c r="I43" s="67" t="b">
        <v>0</v>
      </c>
      <c r="J43" s="67" t="b">
        <v>0</v>
      </c>
      <c r="K43" s="67" t="b">
        <v>0</v>
      </c>
      <c r="L43" s="67" t="b">
        <v>0</v>
      </c>
    </row>
    <row r="44" spans="1:12" ht="15">
      <c r="A44" s="136" t="s">
        <v>1809</v>
      </c>
      <c r="B44" s="67" t="s">
        <v>2183</v>
      </c>
      <c r="C44" s="67">
        <v>2</v>
      </c>
      <c r="D44" s="139">
        <v>0.003339787015918944</v>
      </c>
      <c r="E44" s="139">
        <v>2.361255520058149</v>
      </c>
      <c r="F44" s="67" t="s">
        <v>2234</v>
      </c>
      <c r="G44" s="67" t="b">
        <v>0</v>
      </c>
      <c r="H44" s="67" t="b">
        <v>0</v>
      </c>
      <c r="I44" s="67" t="b">
        <v>0</v>
      </c>
      <c r="J44" s="67" t="b">
        <v>0</v>
      </c>
      <c r="K44" s="67" t="b">
        <v>0</v>
      </c>
      <c r="L44" s="67" t="b">
        <v>0</v>
      </c>
    </row>
    <row r="45" spans="1:12" ht="15">
      <c r="A45" s="136" t="s">
        <v>2056</v>
      </c>
      <c r="B45" s="67" t="s">
        <v>1830</v>
      </c>
      <c r="C45" s="67">
        <v>2</v>
      </c>
      <c r="D45" s="139">
        <v>0.003339787015918944</v>
      </c>
      <c r="E45" s="139">
        <v>2.0602255243941676</v>
      </c>
      <c r="F45" s="67" t="s">
        <v>2234</v>
      </c>
      <c r="G45" s="67" t="b">
        <v>0</v>
      </c>
      <c r="H45" s="67" t="b">
        <v>0</v>
      </c>
      <c r="I45" s="67" t="b">
        <v>0</v>
      </c>
      <c r="J45" s="67" t="b">
        <v>0</v>
      </c>
      <c r="K45" s="67" t="b">
        <v>0</v>
      </c>
      <c r="L45" s="67" t="b">
        <v>0</v>
      </c>
    </row>
    <row r="46" spans="1:12" ht="15">
      <c r="A46" s="136" t="s">
        <v>1822</v>
      </c>
      <c r="B46" s="67" t="s">
        <v>1800</v>
      </c>
      <c r="C46" s="67">
        <v>2</v>
      </c>
      <c r="D46" s="139">
        <v>0.003339787015918944</v>
      </c>
      <c r="E46" s="139">
        <v>2.0602255243941676</v>
      </c>
      <c r="F46" s="67" t="s">
        <v>2234</v>
      </c>
      <c r="G46" s="67" t="b">
        <v>0</v>
      </c>
      <c r="H46" s="67" t="b">
        <v>0</v>
      </c>
      <c r="I46" s="67" t="b">
        <v>0</v>
      </c>
      <c r="J46" s="67" t="b">
        <v>0</v>
      </c>
      <c r="K46" s="67" t="b">
        <v>0</v>
      </c>
      <c r="L46" s="67" t="b">
        <v>0</v>
      </c>
    </row>
    <row r="47" spans="1:12" ht="15">
      <c r="A47" s="136" t="s">
        <v>1821</v>
      </c>
      <c r="B47" s="67" t="s">
        <v>2058</v>
      </c>
      <c r="C47" s="67">
        <v>2</v>
      </c>
      <c r="D47" s="139">
        <v>0.003339787015918944</v>
      </c>
      <c r="E47" s="139">
        <v>2.4861942566664488</v>
      </c>
      <c r="F47" s="67" t="s">
        <v>2234</v>
      </c>
      <c r="G47" s="67" t="b">
        <v>0</v>
      </c>
      <c r="H47" s="67" t="b">
        <v>0</v>
      </c>
      <c r="I47" s="67" t="b">
        <v>0</v>
      </c>
      <c r="J47" s="67" t="b">
        <v>0</v>
      </c>
      <c r="K47" s="67" t="b">
        <v>0</v>
      </c>
      <c r="L47" s="67" t="b">
        <v>0</v>
      </c>
    </row>
    <row r="48" spans="1:12" ht="15">
      <c r="A48" s="136" t="s">
        <v>2133</v>
      </c>
      <c r="B48" s="67" t="s">
        <v>2128</v>
      </c>
      <c r="C48" s="67">
        <v>2</v>
      </c>
      <c r="D48" s="139">
        <v>0.003339787015918944</v>
      </c>
      <c r="E48" s="139">
        <v>2.66228551572213</v>
      </c>
      <c r="F48" s="67" t="s">
        <v>2234</v>
      </c>
      <c r="G48" s="67" t="b">
        <v>0</v>
      </c>
      <c r="H48" s="67" t="b">
        <v>0</v>
      </c>
      <c r="I48" s="67" t="b">
        <v>0</v>
      </c>
      <c r="J48" s="67" t="b">
        <v>0</v>
      </c>
      <c r="K48" s="67" t="b">
        <v>0</v>
      </c>
      <c r="L48" s="67" t="b">
        <v>0</v>
      </c>
    </row>
    <row r="49" spans="1:12" ht="15">
      <c r="A49" s="136" t="s">
        <v>2129</v>
      </c>
      <c r="B49" s="67" t="s">
        <v>2136</v>
      </c>
      <c r="C49" s="67">
        <v>2</v>
      </c>
      <c r="D49" s="139">
        <v>0.003339787015918944</v>
      </c>
      <c r="E49" s="139">
        <v>2.66228551572213</v>
      </c>
      <c r="F49" s="67" t="s">
        <v>2234</v>
      </c>
      <c r="G49" s="67" t="b">
        <v>0</v>
      </c>
      <c r="H49" s="67" t="b">
        <v>0</v>
      </c>
      <c r="I49" s="67" t="b">
        <v>0</v>
      </c>
      <c r="J49" s="67" t="b">
        <v>0</v>
      </c>
      <c r="K49" s="67" t="b">
        <v>0</v>
      </c>
      <c r="L49" s="67" t="b">
        <v>0</v>
      </c>
    </row>
    <row r="50" spans="1:12" ht="15">
      <c r="A50" s="136" t="s">
        <v>2077</v>
      </c>
      <c r="B50" s="67" t="s">
        <v>2090</v>
      </c>
      <c r="C50" s="67">
        <v>2</v>
      </c>
      <c r="D50" s="139">
        <v>0.003339787015918944</v>
      </c>
      <c r="E50" s="139">
        <v>2.66228551572213</v>
      </c>
      <c r="F50" s="67" t="s">
        <v>2234</v>
      </c>
      <c r="G50" s="67" t="b">
        <v>0</v>
      </c>
      <c r="H50" s="67" t="b">
        <v>0</v>
      </c>
      <c r="I50" s="67" t="b">
        <v>0</v>
      </c>
      <c r="J50" s="67" t="b">
        <v>0</v>
      </c>
      <c r="K50" s="67" t="b">
        <v>0</v>
      </c>
      <c r="L50" s="67" t="b">
        <v>0</v>
      </c>
    </row>
    <row r="51" spans="1:12" ht="15">
      <c r="A51" s="136" t="s">
        <v>2222</v>
      </c>
      <c r="B51" s="67" t="s">
        <v>2143</v>
      </c>
      <c r="C51" s="67">
        <v>2</v>
      </c>
      <c r="D51" s="139">
        <v>0.003339787015918944</v>
      </c>
      <c r="E51" s="139">
        <v>2.66228551572213</v>
      </c>
      <c r="F51" s="67" t="s">
        <v>2234</v>
      </c>
      <c r="G51" s="67" t="b">
        <v>0</v>
      </c>
      <c r="H51" s="67" t="b">
        <v>0</v>
      </c>
      <c r="I51" s="67" t="b">
        <v>0</v>
      </c>
      <c r="J51" s="67" t="b">
        <v>0</v>
      </c>
      <c r="K51" s="67" t="b">
        <v>0</v>
      </c>
      <c r="L51" s="67" t="b">
        <v>0</v>
      </c>
    </row>
    <row r="52" spans="1:12" ht="15">
      <c r="A52" s="136" t="s">
        <v>2080</v>
      </c>
      <c r="B52" s="67" t="s">
        <v>2056</v>
      </c>
      <c r="C52" s="67">
        <v>2</v>
      </c>
      <c r="D52" s="139">
        <v>0.003339787015918944</v>
      </c>
      <c r="E52" s="139">
        <v>2.361255520058149</v>
      </c>
      <c r="F52" s="67" t="s">
        <v>2234</v>
      </c>
      <c r="G52" s="67" t="b">
        <v>0</v>
      </c>
      <c r="H52" s="67" t="b">
        <v>0</v>
      </c>
      <c r="I52" s="67" t="b">
        <v>0</v>
      </c>
      <c r="J52" s="67" t="b">
        <v>0</v>
      </c>
      <c r="K52" s="67" t="b">
        <v>0</v>
      </c>
      <c r="L52" s="67" t="b">
        <v>0</v>
      </c>
    </row>
    <row r="53" spans="1:12" ht="15">
      <c r="A53" s="136" t="s">
        <v>1836</v>
      </c>
      <c r="B53" s="67" t="s">
        <v>2204</v>
      </c>
      <c r="C53" s="67">
        <v>2</v>
      </c>
      <c r="D53" s="139">
        <v>0.003339787015918944</v>
      </c>
      <c r="E53" s="139">
        <v>2.66228551572213</v>
      </c>
      <c r="F53" s="67" t="s">
        <v>2234</v>
      </c>
      <c r="G53" s="67" t="b">
        <v>0</v>
      </c>
      <c r="H53" s="67" t="b">
        <v>0</v>
      </c>
      <c r="I53" s="67" t="b">
        <v>0</v>
      </c>
      <c r="J53" s="67" t="b">
        <v>0</v>
      </c>
      <c r="K53" s="67" t="b">
        <v>0</v>
      </c>
      <c r="L53" s="67" t="b">
        <v>0</v>
      </c>
    </row>
    <row r="54" spans="1:12" ht="15">
      <c r="A54" s="136" t="s">
        <v>929</v>
      </c>
      <c r="B54" s="67" t="s">
        <v>1809</v>
      </c>
      <c r="C54" s="67">
        <v>2</v>
      </c>
      <c r="D54" s="139">
        <v>0.003339787015918944</v>
      </c>
      <c r="E54" s="139">
        <v>2.1851642610024675</v>
      </c>
      <c r="F54" s="67" t="s">
        <v>2234</v>
      </c>
      <c r="G54" s="67" t="b">
        <v>0</v>
      </c>
      <c r="H54" s="67" t="b">
        <v>0</v>
      </c>
      <c r="I54" s="67" t="b">
        <v>0</v>
      </c>
      <c r="J54" s="67" t="b">
        <v>0</v>
      </c>
      <c r="K54" s="67" t="b">
        <v>0</v>
      </c>
      <c r="L54" s="67" t="b">
        <v>0</v>
      </c>
    </row>
    <row r="55" spans="1:12" ht="15">
      <c r="A55" s="136" t="s">
        <v>2146</v>
      </c>
      <c r="B55" s="67" t="s">
        <v>2072</v>
      </c>
      <c r="C55" s="67">
        <v>2</v>
      </c>
      <c r="D55" s="139">
        <v>0.003339787015918944</v>
      </c>
      <c r="E55" s="139">
        <v>2.66228551572213</v>
      </c>
      <c r="F55" s="67" t="s">
        <v>2234</v>
      </c>
      <c r="G55" s="67" t="b">
        <v>0</v>
      </c>
      <c r="H55" s="67" t="b">
        <v>0</v>
      </c>
      <c r="I55" s="67" t="b">
        <v>0</v>
      </c>
      <c r="J55" s="67" t="b">
        <v>0</v>
      </c>
      <c r="K55" s="67" t="b">
        <v>0</v>
      </c>
      <c r="L55" s="67" t="b">
        <v>0</v>
      </c>
    </row>
    <row r="56" spans="1:12" ht="15">
      <c r="A56" s="136" t="s">
        <v>2108</v>
      </c>
      <c r="B56" s="67" t="s">
        <v>2172</v>
      </c>
      <c r="C56" s="67">
        <v>2</v>
      </c>
      <c r="D56" s="139">
        <v>0.003339787015918944</v>
      </c>
      <c r="E56" s="139">
        <v>2.66228551572213</v>
      </c>
      <c r="F56" s="67" t="s">
        <v>2234</v>
      </c>
      <c r="G56" s="67" t="b">
        <v>0</v>
      </c>
      <c r="H56" s="67" t="b">
        <v>0</v>
      </c>
      <c r="I56" s="67" t="b">
        <v>0</v>
      </c>
      <c r="J56" s="67" t="b">
        <v>0</v>
      </c>
      <c r="K56" s="67" t="b">
        <v>0</v>
      </c>
      <c r="L56" s="67" t="b">
        <v>0</v>
      </c>
    </row>
    <row r="57" spans="1:12" ht="15">
      <c r="A57" s="136" t="s">
        <v>2177</v>
      </c>
      <c r="B57" s="67" t="s">
        <v>2093</v>
      </c>
      <c r="C57" s="67">
        <v>2</v>
      </c>
      <c r="D57" s="139">
        <v>0.003339787015918944</v>
      </c>
      <c r="E57" s="139">
        <v>2.66228551572213</v>
      </c>
      <c r="F57" s="67" t="s">
        <v>2234</v>
      </c>
      <c r="G57" s="67" t="b">
        <v>0</v>
      </c>
      <c r="H57" s="67" t="b">
        <v>0</v>
      </c>
      <c r="I57" s="67" t="b">
        <v>0</v>
      </c>
      <c r="J57" s="67" t="b">
        <v>0</v>
      </c>
      <c r="K57" s="67" t="b">
        <v>0</v>
      </c>
      <c r="L57" s="67" t="b">
        <v>0</v>
      </c>
    </row>
    <row r="58" spans="1:12" ht="15">
      <c r="A58" s="136" t="s">
        <v>2076</v>
      </c>
      <c r="B58" s="67" t="s">
        <v>2104</v>
      </c>
      <c r="C58" s="67">
        <v>2</v>
      </c>
      <c r="D58" s="139">
        <v>0.003339787015918944</v>
      </c>
      <c r="E58" s="139">
        <v>2.66228551572213</v>
      </c>
      <c r="F58" s="67" t="s">
        <v>2234</v>
      </c>
      <c r="G58" s="67" t="b">
        <v>0</v>
      </c>
      <c r="H58" s="67" t="b">
        <v>0</v>
      </c>
      <c r="I58" s="67" t="b">
        <v>0</v>
      </c>
      <c r="J58" s="67" t="b">
        <v>0</v>
      </c>
      <c r="K58" s="67" t="b">
        <v>0</v>
      </c>
      <c r="L58" s="67" t="b">
        <v>0</v>
      </c>
    </row>
    <row r="59" spans="1:12" ht="15">
      <c r="A59" s="136" t="s">
        <v>2189</v>
      </c>
      <c r="B59" s="67" t="s">
        <v>2170</v>
      </c>
      <c r="C59" s="67">
        <v>2</v>
      </c>
      <c r="D59" s="139">
        <v>0.003339787015918944</v>
      </c>
      <c r="E59" s="139">
        <v>2.66228551572213</v>
      </c>
      <c r="F59" s="67" t="s">
        <v>2234</v>
      </c>
      <c r="G59" s="67" t="b">
        <v>0</v>
      </c>
      <c r="H59" s="67" t="b">
        <v>0</v>
      </c>
      <c r="I59" s="67" t="b">
        <v>0</v>
      </c>
      <c r="J59" s="67" t="b">
        <v>0</v>
      </c>
      <c r="K59" s="67" t="b">
        <v>0</v>
      </c>
      <c r="L59" s="67" t="b">
        <v>0</v>
      </c>
    </row>
    <row r="60" spans="1:12" ht="15">
      <c r="A60" s="136" t="s">
        <v>1846</v>
      </c>
      <c r="B60" s="67" t="s">
        <v>1812</v>
      </c>
      <c r="C60" s="67">
        <v>2</v>
      </c>
      <c r="D60" s="139">
        <v>0.003339787015918944</v>
      </c>
      <c r="E60" s="139">
        <v>2.2643455070500926</v>
      </c>
      <c r="F60" s="67" t="s">
        <v>2234</v>
      </c>
      <c r="G60" s="67" t="b">
        <v>0</v>
      </c>
      <c r="H60" s="67" t="b">
        <v>0</v>
      </c>
      <c r="I60" s="67" t="b">
        <v>0</v>
      </c>
      <c r="J60" s="67" t="b">
        <v>0</v>
      </c>
      <c r="K60" s="67" t="b">
        <v>0</v>
      </c>
      <c r="L60" s="67" t="b">
        <v>0</v>
      </c>
    </row>
    <row r="61" spans="1:12" ht="15">
      <c r="A61" s="136" t="s">
        <v>1849</v>
      </c>
      <c r="B61" s="67" t="s">
        <v>1846</v>
      </c>
      <c r="C61" s="67">
        <v>2</v>
      </c>
      <c r="D61" s="139">
        <v>0.003339787015918944</v>
      </c>
      <c r="E61" s="139">
        <v>2.66228551572213</v>
      </c>
      <c r="F61" s="67" t="s">
        <v>2234</v>
      </c>
      <c r="G61" s="67" t="b">
        <v>0</v>
      </c>
      <c r="H61" s="67" t="b">
        <v>0</v>
      </c>
      <c r="I61" s="67" t="b">
        <v>0</v>
      </c>
      <c r="J61" s="67" t="b">
        <v>0</v>
      </c>
      <c r="K61" s="67" t="b">
        <v>0</v>
      </c>
      <c r="L61" s="67" t="b">
        <v>0</v>
      </c>
    </row>
    <row r="62" spans="1:12" ht="15">
      <c r="A62" s="136" t="s">
        <v>2179</v>
      </c>
      <c r="B62" s="67" t="s">
        <v>2107</v>
      </c>
      <c r="C62" s="67">
        <v>2</v>
      </c>
      <c r="D62" s="139">
        <v>0.003339787015918944</v>
      </c>
      <c r="E62" s="139">
        <v>2.66228551572213</v>
      </c>
      <c r="F62" s="67" t="s">
        <v>2234</v>
      </c>
      <c r="G62" s="67" t="b">
        <v>0</v>
      </c>
      <c r="H62" s="67" t="b">
        <v>0</v>
      </c>
      <c r="I62" s="67" t="b">
        <v>0</v>
      </c>
      <c r="J62" s="67" t="b">
        <v>0</v>
      </c>
      <c r="K62" s="67" t="b">
        <v>0</v>
      </c>
      <c r="L62" s="67" t="b">
        <v>0</v>
      </c>
    </row>
    <row r="63" spans="1:12" ht="15">
      <c r="A63" s="136" t="s">
        <v>1834</v>
      </c>
      <c r="B63" s="67" t="s">
        <v>1836</v>
      </c>
      <c r="C63" s="67">
        <v>2</v>
      </c>
      <c r="D63" s="139">
        <v>0.003339787015918944</v>
      </c>
      <c r="E63" s="139">
        <v>2.66228551572213</v>
      </c>
      <c r="F63" s="67" t="s">
        <v>2234</v>
      </c>
      <c r="G63" s="67" t="b">
        <v>0</v>
      </c>
      <c r="H63" s="67" t="b">
        <v>0</v>
      </c>
      <c r="I63" s="67" t="b">
        <v>0</v>
      </c>
      <c r="J63" s="67" t="b">
        <v>0</v>
      </c>
      <c r="K63" s="67" t="b">
        <v>0</v>
      </c>
      <c r="L63" s="67" t="b">
        <v>0</v>
      </c>
    </row>
    <row r="64" spans="1:12" ht="15">
      <c r="A64" s="136" t="s">
        <v>2083</v>
      </c>
      <c r="B64" s="67" t="s">
        <v>1819</v>
      </c>
      <c r="C64" s="67">
        <v>2</v>
      </c>
      <c r="D64" s="139">
        <v>0.003339787015918944</v>
      </c>
      <c r="E64" s="139">
        <v>2.66228551572213</v>
      </c>
      <c r="F64" s="67" t="s">
        <v>2234</v>
      </c>
      <c r="G64" s="67" t="b">
        <v>0</v>
      </c>
      <c r="H64" s="67" t="b">
        <v>0</v>
      </c>
      <c r="I64" s="67" t="b">
        <v>0</v>
      </c>
      <c r="J64" s="67" t="b">
        <v>0</v>
      </c>
      <c r="K64" s="67" t="b">
        <v>0</v>
      </c>
      <c r="L64" s="67" t="b">
        <v>0</v>
      </c>
    </row>
    <row r="65" spans="1:12" ht="15">
      <c r="A65" s="136" t="s">
        <v>2160</v>
      </c>
      <c r="B65" s="67" t="s">
        <v>2100</v>
      </c>
      <c r="C65" s="67">
        <v>2</v>
      </c>
      <c r="D65" s="139">
        <v>0.003339787015918944</v>
      </c>
      <c r="E65" s="139">
        <v>2.66228551572213</v>
      </c>
      <c r="F65" s="67" t="s">
        <v>2234</v>
      </c>
      <c r="G65" s="67" t="b">
        <v>0</v>
      </c>
      <c r="H65" s="67" t="b">
        <v>0</v>
      </c>
      <c r="I65" s="67" t="b">
        <v>0</v>
      </c>
      <c r="J65" s="67" t="b">
        <v>0</v>
      </c>
      <c r="K65" s="67" t="b">
        <v>0</v>
      </c>
      <c r="L65" s="67" t="b">
        <v>0</v>
      </c>
    </row>
    <row r="66" spans="1:12" ht="15">
      <c r="A66" s="136" t="s">
        <v>2188</v>
      </c>
      <c r="B66" s="67" t="s">
        <v>2211</v>
      </c>
      <c r="C66" s="67">
        <v>2</v>
      </c>
      <c r="D66" s="139">
        <v>0.003339787015918944</v>
      </c>
      <c r="E66" s="139">
        <v>2.66228551572213</v>
      </c>
      <c r="F66" s="67" t="s">
        <v>2234</v>
      </c>
      <c r="G66" s="67" t="b">
        <v>0</v>
      </c>
      <c r="H66" s="67" t="b">
        <v>0</v>
      </c>
      <c r="I66" s="67" t="b">
        <v>0</v>
      </c>
      <c r="J66" s="67" t="b">
        <v>0</v>
      </c>
      <c r="K66" s="67" t="b">
        <v>0</v>
      </c>
      <c r="L66" s="67" t="b">
        <v>0</v>
      </c>
    </row>
    <row r="67" spans="1:12" ht="15">
      <c r="A67" s="136" t="s">
        <v>2187</v>
      </c>
      <c r="B67" s="67" t="s">
        <v>2230</v>
      </c>
      <c r="C67" s="67">
        <v>2</v>
      </c>
      <c r="D67" s="139">
        <v>0.003339787015918944</v>
      </c>
      <c r="E67" s="139">
        <v>2.66228551572213</v>
      </c>
      <c r="F67" s="67" t="s">
        <v>2234</v>
      </c>
      <c r="G67" s="67" t="b">
        <v>0</v>
      </c>
      <c r="H67" s="67" t="b">
        <v>0</v>
      </c>
      <c r="I67" s="67" t="b">
        <v>0</v>
      </c>
      <c r="J67" s="67" t="b">
        <v>0</v>
      </c>
      <c r="K67" s="67" t="b">
        <v>0</v>
      </c>
      <c r="L67" s="67" t="b">
        <v>0</v>
      </c>
    </row>
    <row r="68" spans="1:12" ht="15">
      <c r="A68" s="136" t="s">
        <v>2101</v>
      </c>
      <c r="B68" s="67" t="s">
        <v>2201</v>
      </c>
      <c r="C68" s="67">
        <v>2</v>
      </c>
      <c r="D68" s="139">
        <v>0.003339787015918944</v>
      </c>
      <c r="E68" s="139">
        <v>2.66228551572213</v>
      </c>
      <c r="F68" s="67" t="s">
        <v>2234</v>
      </c>
      <c r="G68" s="67" t="b">
        <v>0</v>
      </c>
      <c r="H68" s="67" t="b">
        <v>0</v>
      </c>
      <c r="I68" s="67" t="b">
        <v>0</v>
      </c>
      <c r="J68" s="67" t="b">
        <v>0</v>
      </c>
      <c r="K68" s="67" t="b">
        <v>0</v>
      </c>
      <c r="L68" s="67" t="b">
        <v>0</v>
      </c>
    </row>
    <row r="69" spans="1:12" ht="15">
      <c r="A69" s="136" t="s">
        <v>2060</v>
      </c>
      <c r="B69" s="67" t="s">
        <v>1802</v>
      </c>
      <c r="C69" s="67">
        <v>2</v>
      </c>
      <c r="D69" s="139">
        <v>0.003339787015918944</v>
      </c>
      <c r="E69" s="139">
        <v>1.8841342653384865</v>
      </c>
      <c r="F69" s="67" t="s">
        <v>2234</v>
      </c>
      <c r="G69" s="67" t="b">
        <v>0</v>
      </c>
      <c r="H69" s="67" t="b">
        <v>0</v>
      </c>
      <c r="I69" s="67" t="b">
        <v>0</v>
      </c>
      <c r="J69" s="67" t="b">
        <v>0</v>
      </c>
      <c r="K69" s="67" t="b">
        <v>0</v>
      </c>
      <c r="L69" s="67" t="b">
        <v>0</v>
      </c>
    </row>
    <row r="70" spans="1:12" ht="15">
      <c r="A70" s="136" t="s">
        <v>1819</v>
      </c>
      <c r="B70" s="67" t="s">
        <v>1801</v>
      </c>
      <c r="C70" s="67">
        <v>2</v>
      </c>
      <c r="D70" s="139">
        <v>0.003339787015918944</v>
      </c>
      <c r="E70" s="139">
        <v>2.0090730019467866</v>
      </c>
      <c r="F70" s="67" t="s">
        <v>2234</v>
      </c>
      <c r="G70" s="67" t="b">
        <v>0</v>
      </c>
      <c r="H70" s="67" t="b">
        <v>0</v>
      </c>
      <c r="I70" s="67" t="b">
        <v>0</v>
      </c>
      <c r="J70" s="67" t="b">
        <v>0</v>
      </c>
      <c r="K70" s="67" t="b">
        <v>0</v>
      </c>
      <c r="L70" s="67" t="b">
        <v>0</v>
      </c>
    </row>
    <row r="71" spans="1:12" ht="15">
      <c r="A71" s="136" t="s">
        <v>1801</v>
      </c>
      <c r="B71" s="67" t="s">
        <v>1817</v>
      </c>
      <c r="C71" s="67">
        <v>2</v>
      </c>
      <c r="D71" s="139">
        <v>0.003339787015918944</v>
      </c>
      <c r="E71" s="139">
        <v>2.0090730019467866</v>
      </c>
      <c r="F71" s="67" t="s">
        <v>2234</v>
      </c>
      <c r="G71" s="67" t="b">
        <v>0</v>
      </c>
      <c r="H71" s="67" t="b">
        <v>0</v>
      </c>
      <c r="I71" s="67" t="b">
        <v>0</v>
      </c>
      <c r="J71" s="67" t="b">
        <v>0</v>
      </c>
      <c r="K71" s="67" t="b">
        <v>0</v>
      </c>
      <c r="L71" s="67" t="b">
        <v>0</v>
      </c>
    </row>
    <row r="72" spans="1:12" ht="15">
      <c r="A72" s="136" t="s">
        <v>1818</v>
      </c>
      <c r="B72" s="67" t="s">
        <v>2130</v>
      </c>
      <c r="C72" s="67">
        <v>2</v>
      </c>
      <c r="D72" s="139">
        <v>0.003339787015918944</v>
      </c>
      <c r="E72" s="139">
        <v>2.66228551572213</v>
      </c>
      <c r="F72" s="67" t="s">
        <v>2234</v>
      </c>
      <c r="G72" s="67" t="b">
        <v>0</v>
      </c>
      <c r="H72" s="67" t="b">
        <v>0</v>
      </c>
      <c r="I72" s="67" t="b">
        <v>0</v>
      </c>
      <c r="J72" s="67" t="b">
        <v>0</v>
      </c>
      <c r="K72" s="67" t="b">
        <v>0</v>
      </c>
      <c r="L72" s="67" t="b">
        <v>0</v>
      </c>
    </row>
    <row r="73" spans="1:12" ht="15">
      <c r="A73" s="136" t="s">
        <v>2230</v>
      </c>
      <c r="B73" s="67" t="s">
        <v>2145</v>
      </c>
      <c r="C73" s="67">
        <v>2</v>
      </c>
      <c r="D73" s="139">
        <v>0.003339787015918944</v>
      </c>
      <c r="E73" s="139">
        <v>2.66228551572213</v>
      </c>
      <c r="F73" s="67" t="s">
        <v>2234</v>
      </c>
      <c r="G73" s="67" t="b">
        <v>0</v>
      </c>
      <c r="H73" s="67" t="b">
        <v>0</v>
      </c>
      <c r="I73" s="67" t="b">
        <v>0</v>
      </c>
      <c r="J73" s="67" t="b">
        <v>0</v>
      </c>
      <c r="K73" s="67" t="b">
        <v>0</v>
      </c>
      <c r="L73" s="67" t="b">
        <v>0</v>
      </c>
    </row>
    <row r="74" spans="1:12" ht="15">
      <c r="A74" s="136" t="s">
        <v>2233</v>
      </c>
      <c r="B74" s="67" t="s">
        <v>2112</v>
      </c>
      <c r="C74" s="67">
        <v>2</v>
      </c>
      <c r="D74" s="139">
        <v>0.003339787015918944</v>
      </c>
      <c r="E74" s="139">
        <v>2.66228551572213</v>
      </c>
      <c r="F74" s="67" t="s">
        <v>2234</v>
      </c>
      <c r="G74" s="67" t="b">
        <v>0</v>
      </c>
      <c r="H74" s="67" t="b">
        <v>0</v>
      </c>
      <c r="I74" s="67" t="b">
        <v>0</v>
      </c>
      <c r="J74" s="67" t="b">
        <v>0</v>
      </c>
      <c r="K74" s="67" t="b">
        <v>0</v>
      </c>
      <c r="L74" s="67" t="b">
        <v>0</v>
      </c>
    </row>
    <row r="75" spans="1:12" ht="15">
      <c r="A75" s="136" t="s">
        <v>2150</v>
      </c>
      <c r="B75" s="67" t="s">
        <v>2188</v>
      </c>
      <c r="C75" s="67">
        <v>2</v>
      </c>
      <c r="D75" s="139">
        <v>0.003339787015918944</v>
      </c>
      <c r="E75" s="139">
        <v>2.66228551572213</v>
      </c>
      <c r="F75" s="67" t="s">
        <v>2234</v>
      </c>
      <c r="G75" s="67" t="b">
        <v>0</v>
      </c>
      <c r="H75" s="67" t="b">
        <v>0</v>
      </c>
      <c r="I75" s="67" t="b">
        <v>0</v>
      </c>
      <c r="J75" s="67" t="b">
        <v>0</v>
      </c>
      <c r="K75" s="67" t="b">
        <v>0</v>
      </c>
      <c r="L75" s="67" t="b">
        <v>0</v>
      </c>
    </row>
    <row r="76" spans="1:12" ht="15">
      <c r="A76" s="136" t="s">
        <v>2199</v>
      </c>
      <c r="B76" s="67" t="s">
        <v>2070</v>
      </c>
      <c r="C76" s="67">
        <v>2</v>
      </c>
      <c r="D76" s="139">
        <v>0.003339787015918944</v>
      </c>
      <c r="E76" s="139">
        <v>2.66228551572213</v>
      </c>
      <c r="F76" s="67" t="s">
        <v>2234</v>
      </c>
      <c r="G76" s="67" t="b">
        <v>0</v>
      </c>
      <c r="H76" s="67" t="b">
        <v>0</v>
      </c>
      <c r="I76" s="67" t="b">
        <v>0</v>
      </c>
      <c r="J76" s="67" t="b">
        <v>0</v>
      </c>
      <c r="K76" s="67" t="b">
        <v>0</v>
      </c>
      <c r="L76" s="67" t="b">
        <v>0</v>
      </c>
    </row>
    <row r="77" spans="1:12" ht="15">
      <c r="A77" s="136" t="s">
        <v>2082</v>
      </c>
      <c r="B77" s="67" t="s">
        <v>2141</v>
      </c>
      <c r="C77" s="67">
        <v>2</v>
      </c>
      <c r="D77" s="139">
        <v>0.003339787015918944</v>
      </c>
      <c r="E77" s="139">
        <v>2.66228551572213</v>
      </c>
      <c r="F77" s="67" t="s">
        <v>2234</v>
      </c>
      <c r="G77" s="67" t="b">
        <v>0</v>
      </c>
      <c r="H77" s="67" t="b">
        <v>0</v>
      </c>
      <c r="I77" s="67" t="b">
        <v>0</v>
      </c>
      <c r="J77" s="67" t="b">
        <v>0</v>
      </c>
      <c r="K77" s="67" t="b">
        <v>0</v>
      </c>
      <c r="L77" s="67" t="b">
        <v>0</v>
      </c>
    </row>
    <row r="78" spans="1:12" ht="15">
      <c r="A78" s="136" t="s">
        <v>2142</v>
      </c>
      <c r="B78" s="67" t="s">
        <v>1822</v>
      </c>
      <c r="C78" s="67">
        <v>2</v>
      </c>
      <c r="D78" s="139">
        <v>0.003339787015918944</v>
      </c>
      <c r="E78" s="139">
        <v>2.66228551572213</v>
      </c>
      <c r="F78" s="67" t="s">
        <v>2234</v>
      </c>
      <c r="G78" s="67" t="b">
        <v>0</v>
      </c>
      <c r="H78" s="67" t="b">
        <v>0</v>
      </c>
      <c r="I78" s="67" t="b">
        <v>0</v>
      </c>
      <c r="J78" s="67" t="b">
        <v>0</v>
      </c>
      <c r="K78" s="67" t="b">
        <v>0</v>
      </c>
      <c r="L78" s="67" t="b">
        <v>0</v>
      </c>
    </row>
    <row r="79" spans="1:12" ht="15">
      <c r="A79" s="136" t="s">
        <v>2174</v>
      </c>
      <c r="B79" s="67" t="s">
        <v>2092</v>
      </c>
      <c r="C79" s="67">
        <v>2</v>
      </c>
      <c r="D79" s="139">
        <v>0.003339787015918944</v>
      </c>
      <c r="E79" s="139">
        <v>2.66228551572213</v>
      </c>
      <c r="F79" s="67" t="s">
        <v>2234</v>
      </c>
      <c r="G79" s="67" t="b">
        <v>0</v>
      </c>
      <c r="H79" s="67" t="b">
        <v>0</v>
      </c>
      <c r="I79" s="67" t="b">
        <v>0</v>
      </c>
      <c r="J79" s="67" t="b">
        <v>0</v>
      </c>
      <c r="K79" s="67" t="b">
        <v>0</v>
      </c>
      <c r="L79" s="67" t="b">
        <v>0</v>
      </c>
    </row>
    <row r="80" spans="1:12" ht="15">
      <c r="A80" s="136" t="s">
        <v>1806</v>
      </c>
      <c r="B80" s="67" t="s">
        <v>2182</v>
      </c>
      <c r="C80" s="67">
        <v>2</v>
      </c>
      <c r="D80" s="139">
        <v>0.003339787015918944</v>
      </c>
      <c r="E80" s="139">
        <v>2.1851642610024675</v>
      </c>
      <c r="F80" s="67" t="s">
        <v>2234</v>
      </c>
      <c r="G80" s="67" t="b">
        <v>0</v>
      </c>
      <c r="H80" s="67" t="b">
        <v>0</v>
      </c>
      <c r="I80" s="67" t="b">
        <v>0</v>
      </c>
      <c r="J80" s="67" t="b">
        <v>0</v>
      </c>
      <c r="K80" s="67" t="b">
        <v>0</v>
      </c>
      <c r="L80" s="67" t="b">
        <v>0</v>
      </c>
    </row>
    <row r="81" spans="1:12" ht="15">
      <c r="A81" s="136" t="s">
        <v>2185</v>
      </c>
      <c r="B81" s="67" t="s">
        <v>2165</v>
      </c>
      <c r="C81" s="67">
        <v>2</v>
      </c>
      <c r="D81" s="139">
        <v>0.003339787015918944</v>
      </c>
      <c r="E81" s="139">
        <v>2.66228551572213</v>
      </c>
      <c r="F81" s="67" t="s">
        <v>2234</v>
      </c>
      <c r="G81" s="67" t="b">
        <v>0</v>
      </c>
      <c r="H81" s="67" t="b">
        <v>0</v>
      </c>
      <c r="I81" s="67" t="b">
        <v>0</v>
      </c>
      <c r="J81" s="67" t="b">
        <v>0</v>
      </c>
      <c r="K81" s="67" t="b">
        <v>0</v>
      </c>
      <c r="L81" s="67" t="b">
        <v>0</v>
      </c>
    </row>
    <row r="82" spans="1:12" ht="15">
      <c r="A82" s="136" t="s">
        <v>2138</v>
      </c>
      <c r="B82" s="67" t="s">
        <v>2196</v>
      </c>
      <c r="C82" s="67">
        <v>2</v>
      </c>
      <c r="D82" s="139">
        <v>0.003339787015918944</v>
      </c>
      <c r="E82" s="139">
        <v>2.66228551572213</v>
      </c>
      <c r="F82" s="67" t="s">
        <v>2234</v>
      </c>
      <c r="G82" s="67" t="b">
        <v>0</v>
      </c>
      <c r="H82" s="67" t="b">
        <v>0</v>
      </c>
      <c r="I82" s="67" t="b">
        <v>0</v>
      </c>
      <c r="J82" s="67" t="b">
        <v>0</v>
      </c>
      <c r="K82" s="67" t="b">
        <v>0</v>
      </c>
      <c r="L82" s="67" t="b">
        <v>0</v>
      </c>
    </row>
    <row r="83" spans="1:12" ht="15">
      <c r="A83" s="136" t="s">
        <v>1789</v>
      </c>
      <c r="B83" s="67" t="s">
        <v>317</v>
      </c>
      <c r="C83" s="67">
        <v>2</v>
      </c>
      <c r="D83" s="139">
        <v>0.003339787015918944</v>
      </c>
      <c r="E83" s="139">
        <v>2.4861942566664488</v>
      </c>
      <c r="F83" s="67" t="s">
        <v>2234</v>
      </c>
      <c r="G83" s="67" t="b">
        <v>0</v>
      </c>
      <c r="H83" s="67" t="b">
        <v>0</v>
      </c>
      <c r="I83" s="67" t="b">
        <v>0</v>
      </c>
      <c r="J83" s="67" t="b">
        <v>0</v>
      </c>
      <c r="K83" s="67" t="b">
        <v>0</v>
      </c>
      <c r="L83" s="67" t="b">
        <v>0</v>
      </c>
    </row>
    <row r="84" spans="1:12" ht="15">
      <c r="A84" s="136" t="s">
        <v>2155</v>
      </c>
      <c r="B84" s="67" t="s">
        <v>2082</v>
      </c>
      <c r="C84" s="67">
        <v>2</v>
      </c>
      <c r="D84" s="139">
        <v>0.003339787015918944</v>
      </c>
      <c r="E84" s="139">
        <v>2.66228551572213</v>
      </c>
      <c r="F84" s="67" t="s">
        <v>2234</v>
      </c>
      <c r="G84" s="67" t="b">
        <v>0</v>
      </c>
      <c r="H84" s="67" t="b">
        <v>0</v>
      </c>
      <c r="I84" s="67" t="b">
        <v>0</v>
      </c>
      <c r="J84" s="67" t="b">
        <v>0</v>
      </c>
      <c r="K84" s="67" t="b">
        <v>0</v>
      </c>
      <c r="L84" s="67" t="b">
        <v>0</v>
      </c>
    </row>
    <row r="85" spans="1:12" ht="15">
      <c r="A85" s="136" t="s">
        <v>2124</v>
      </c>
      <c r="B85" s="67" t="s">
        <v>2190</v>
      </c>
      <c r="C85" s="67">
        <v>2</v>
      </c>
      <c r="D85" s="139">
        <v>0.003339787015918944</v>
      </c>
      <c r="E85" s="139">
        <v>2.66228551572213</v>
      </c>
      <c r="F85" s="67" t="s">
        <v>2234</v>
      </c>
      <c r="G85" s="67" t="b">
        <v>0</v>
      </c>
      <c r="H85" s="67" t="b">
        <v>0</v>
      </c>
      <c r="I85" s="67" t="b">
        <v>0</v>
      </c>
      <c r="J85" s="67" t="b">
        <v>0</v>
      </c>
      <c r="K85" s="67" t="b">
        <v>0</v>
      </c>
      <c r="L85" s="67" t="b">
        <v>0</v>
      </c>
    </row>
    <row r="86" spans="1:12" ht="15">
      <c r="A86" s="136" t="s">
        <v>1807</v>
      </c>
      <c r="B86" s="67" t="s">
        <v>2157</v>
      </c>
      <c r="C86" s="67">
        <v>2</v>
      </c>
      <c r="D86" s="139">
        <v>0.003339787015918944</v>
      </c>
      <c r="E86" s="139">
        <v>2.361255520058149</v>
      </c>
      <c r="F86" s="67" t="s">
        <v>2234</v>
      </c>
      <c r="G86" s="67" t="b">
        <v>0</v>
      </c>
      <c r="H86" s="67" t="b">
        <v>0</v>
      </c>
      <c r="I86" s="67" t="b">
        <v>0</v>
      </c>
      <c r="J86" s="67" t="b">
        <v>0</v>
      </c>
      <c r="K86" s="67" t="b">
        <v>0</v>
      </c>
      <c r="L86" s="67" t="b">
        <v>0</v>
      </c>
    </row>
    <row r="87" spans="1:12" ht="15">
      <c r="A87" s="136" t="s">
        <v>1830</v>
      </c>
      <c r="B87" s="67" t="s">
        <v>1828</v>
      </c>
      <c r="C87" s="67">
        <v>2</v>
      </c>
      <c r="D87" s="139">
        <v>0.003339787015918944</v>
      </c>
      <c r="E87" s="139">
        <v>2.361255520058149</v>
      </c>
      <c r="F87" s="67" t="s">
        <v>2234</v>
      </c>
      <c r="G87" s="67" t="b">
        <v>0</v>
      </c>
      <c r="H87" s="67" t="b">
        <v>0</v>
      </c>
      <c r="I87" s="67" t="b">
        <v>0</v>
      </c>
      <c r="J87" s="67" t="b">
        <v>0</v>
      </c>
      <c r="K87" s="67" t="b">
        <v>0</v>
      </c>
      <c r="L87" s="67" t="b">
        <v>0</v>
      </c>
    </row>
    <row r="88" spans="1:12" ht="15">
      <c r="A88" s="136" t="s">
        <v>2167</v>
      </c>
      <c r="B88" s="67" t="s">
        <v>1807</v>
      </c>
      <c r="C88" s="67">
        <v>2</v>
      </c>
      <c r="D88" s="139">
        <v>0.003339787015918944</v>
      </c>
      <c r="E88" s="139">
        <v>2.361255520058149</v>
      </c>
      <c r="F88" s="67" t="s">
        <v>2234</v>
      </c>
      <c r="G88" s="67" t="b">
        <v>0</v>
      </c>
      <c r="H88" s="67" t="b">
        <v>0</v>
      </c>
      <c r="I88" s="67" t="b">
        <v>0</v>
      </c>
      <c r="J88" s="67" t="b">
        <v>0</v>
      </c>
      <c r="K88" s="67" t="b">
        <v>0</v>
      </c>
      <c r="L88" s="67" t="b">
        <v>0</v>
      </c>
    </row>
    <row r="89" spans="1:12" ht="15">
      <c r="A89" s="136" t="s">
        <v>2178</v>
      </c>
      <c r="B89" s="67" t="s">
        <v>2147</v>
      </c>
      <c r="C89" s="67">
        <v>2</v>
      </c>
      <c r="D89" s="139">
        <v>0.003339787015918944</v>
      </c>
      <c r="E89" s="139">
        <v>2.66228551572213</v>
      </c>
      <c r="F89" s="67" t="s">
        <v>2234</v>
      </c>
      <c r="G89" s="67" t="b">
        <v>0</v>
      </c>
      <c r="H89" s="67" t="b">
        <v>0</v>
      </c>
      <c r="I89" s="67" t="b">
        <v>0</v>
      </c>
      <c r="J89" s="67" t="b">
        <v>0</v>
      </c>
      <c r="K89" s="67" t="b">
        <v>0</v>
      </c>
      <c r="L89" s="67" t="b">
        <v>0</v>
      </c>
    </row>
    <row r="90" spans="1:12" ht="15">
      <c r="A90" s="136" t="s">
        <v>2095</v>
      </c>
      <c r="B90" s="67" t="s">
        <v>2108</v>
      </c>
      <c r="C90" s="67">
        <v>2</v>
      </c>
      <c r="D90" s="139">
        <v>0.003339787015918944</v>
      </c>
      <c r="E90" s="139">
        <v>2.66228551572213</v>
      </c>
      <c r="F90" s="67" t="s">
        <v>2234</v>
      </c>
      <c r="G90" s="67" t="b">
        <v>0</v>
      </c>
      <c r="H90" s="67" t="b">
        <v>0</v>
      </c>
      <c r="I90" s="67" t="b">
        <v>0</v>
      </c>
      <c r="J90" s="67" t="b">
        <v>0</v>
      </c>
      <c r="K90" s="67" t="b">
        <v>0</v>
      </c>
      <c r="L90" s="67" t="b">
        <v>0</v>
      </c>
    </row>
    <row r="91" spans="1:12" ht="15">
      <c r="A91" s="136" t="s">
        <v>1800</v>
      </c>
      <c r="B91" s="67" t="s">
        <v>2161</v>
      </c>
      <c r="C91" s="67">
        <v>2</v>
      </c>
      <c r="D91" s="139">
        <v>0.003339787015918944</v>
      </c>
      <c r="E91" s="139">
        <v>2.0090730019467866</v>
      </c>
      <c r="F91" s="67" t="s">
        <v>2234</v>
      </c>
      <c r="G91" s="67" t="b">
        <v>0</v>
      </c>
      <c r="H91" s="67" t="b">
        <v>0</v>
      </c>
      <c r="I91" s="67" t="b">
        <v>0</v>
      </c>
      <c r="J91" s="67" t="b">
        <v>0</v>
      </c>
      <c r="K91" s="67" t="b">
        <v>0</v>
      </c>
      <c r="L91" s="67" t="b">
        <v>0</v>
      </c>
    </row>
    <row r="92" spans="1:12" ht="15">
      <c r="A92" s="136" t="s">
        <v>2081</v>
      </c>
      <c r="B92" s="67" t="s">
        <v>1834</v>
      </c>
      <c r="C92" s="67">
        <v>2</v>
      </c>
      <c r="D92" s="139">
        <v>0.003339787015918944</v>
      </c>
      <c r="E92" s="139">
        <v>2.4861942566664488</v>
      </c>
      <c r="F92" s="67" t="s">
        <v>2234</v>
      </c>
      <c r="G92" s="67" t="b">
        <v>0</v>
      </c>
      <c r="H92" s="67" t="b">
        <v>0</v>
      </c>
      <c r="I92" s="67" t="b">
        <v>0</v>
      </c>
      <c r="J92" s="67" t="b">
        <v>0</v>
      </c>
      <c r="K92" s="67" t="b">
        <v>0</v>
      </c>
      <c r="L92" s="67" t="b">
        <v>0</v>
      </c>
    </row>
    <row r="93" spans="1:12" ht="15">
      <c r="A93" s="136" t="s">
        <v>2180</v>
      </c>
      <c r="B93" s="67" t="s">
        <v>2144</v>
      </c>
      <c r="C93" s="67">
        <v>2</v>
      </c>
      <c r="D93" s="139">
        <v>0.003339787015918944</v>
      </c>
      <c r="E93" s="139">
        <v>2.66228551572213</v>
      </c>
      <c r="F93" s="67" t="s">
        <v>2234</v>
      </c>
      <c r="G93" s="67" t="b">
        <v>0</v>
      </c>
      <c r="H93" s="67" t="b">
        <v>0</v>
      </c>
      <c r="I93" s="67" t="b">
        <v>0</v>
      </c>
      <c r="J93" s="67" t="b">
        <v>0</v>
      </c>
      <c r="K93" s="67" t="b">
        <v>0</v>
      </c>
      <c r="L93" s="67" t="b">
        <v>0</v>
      </c>
    </row>
    <row r="94" spans="1:12" ht="15">
      <c r="A94" s="136" t="s">
        <v>2220</v>
      </c>
      <c r="B94" s="67" t="s">
        <v>1835</v>
      </c>
      <c r="C94" s="67">
        <v>2</v>
      </c>
      <c r="D94" s="139">
        <v>0.003339787015918944</v>
      </c>
      <c r="E94" s="139">
        <v>2.2643455070500926</v>
      </c>
      <c r="F94" s="67" t="s">
        <v>2234</v>
      </c>
      <c r="G94" s="67" t="b">
        <v>0</v>
      </c>
      <c r="H94" s="67" t="b">
        <v>0</v>
      </c>
      <c r="I94" s="67" t="b">
        <v>0</v>
      </c>
      <c r="J94" s="67" t="b">
        <v>0</v>
      </c>
      <c r="K94" s="67" t="b">
        <v>0</v>
      </c>
      <c r="L94" s="67" t="b">
        <v>0</v>
      </c>
    </row>
    <row r="95" spans="1:12" ht="15">
      <c r="A95" s="136" t="s">
        <v>2148</v>
      </c>
      <c r="B95" s="67" t="s">
        <v>2079</v>
      </c>
      <c r="C95" s="67">
        <v>2</v>
      </c>
      <c r="D95" s="139">
        <v>0.003339787015918944</v>
      </c>
      <c r="E95" s="139">
        <v>2.66228551572213</v>
      </c>
      <c r="F95" s="67" t="s">
        <v>2234</v>
      </c>
      <c r="G95" s="67" t="b">
        <v>0</v>
      </c>
      <c r="H95" s="67" t="b">
        <v>0</v>
      </c>
      <c r="I95" s="67" t="b">
        <v>0</v>
      </c>
      <c r="J95" s="67" t="b">
        <v>0</v>
      </c>
      <c r="K95" s="67" t="b">
        <v>0</v>
      </c>
      <c r="L95" s="67" t="b">
        <v>0</v>
      </c>
    </row>
    <row r="96" spans="1:12" ht="15">
      <c r="A96" s="136" t="s">
        <v>1826</v>
      </c>
      <c r="B96" s="67" t="s">
        <v>1825</v>
      </c>
      <c r="C96" s="67">
        <v>2</v>
      </c>
      <c r="D96" s="139">
        <v>0.003339787015918944</v>
      </c>
      <c r="E96" s="139">
        <v>2.1851642610024675</v>
      </c>
      <c r="F96" s="67" t="s">
        <v>2234</v>
      </c>
      <c r="G96" s="67" t="b">
        <v>0</v>
      </c>
      <c r="H96" s="67" t="b">
        <v>0</v>
      </c>
      <c r="I96" s="67" t="b">
        <v>0</v>
      </c>
      <c r="J96" s="67" t="b">
        <v>0</v>
      </c>
      <c r="K96" s="67" t="b">
        <v>0</v>
      </c>
      <c r="L96" s="67" t="b">
        <v>0</v>
      </c>
    </row>
    <row r="97" spans="1:12" ht="15">
      <c r="A97" s="136" t="s">
        <v>2098</v>
      </c>
      <c r="B97" s="67" t="s">
        <v>2218</v>
      </c>
      <c r="C97" s="67">
        <v>2</v>
      </c>
      <c r="D97" s="139">
        <v>0.003339787015918944</v>
      </c>
      <c r="E97" s="139">
        <v>2.66228551572213</v>
      </c>
      <c r="F97" s="67" t="s">
        <v>2234</v>
      </c>
      <c r="G97" s="67" t="b">
        <v>0</v>
      </c>
      <c r="H97" s="67" t="b">
        <v>0</v>
      </c>
      <c r="I97" s="67" t="b">
        <v>0</v>
      </c>
      <c r="J97" s="67" t="b">
        <v>0</v>
      </c>
      <c r="K97" s="67" t="b">
        <v>0</v>
      </c>
      <c r="L97" s="67" t="b">
        <v>0</v>
      </c>
    </row>
    <row r="98" spans="1:12" ht="15">
      <c r="A98" s="136" t="s">
        <v>2214</v>
      </c>
      <c r="B98" s="67" t="s">
        <v>1827</v>
      </c>
      <c r="C98" s="67">
        <v>2</v>
      </c>
      <c r="D98" s="139">
        <v>0.003339787015918944</v>
      </c>
      <c r="E98" s="139">
        <v>2.66228551572213</v>
      </c>
      <c r="F98" s="67" t="s">
        <v>2234</v>
      </c>
      <c r="G98" s="67" t="b">
        <v>0</v>
      </c>
      <c r="H98" s="67" t="b">
        <v>0</v>
      </c>
      <c r="I98" s="67" t="b">
        <v>0</v>
      </c>
      <c r="J98" s="67" t="b">
        <v>0</v>
      </c>
      <c r="K98" s="67" t="b">
        <v>0</v>
      </c>
      <c r="L98" s="67" t="b">
        <v>0</v>
      </c>
    </row>
    <row r="99" spans="1:12" ht="15">
      <c r="A99" s="136" t="s">
        <v>2144</v>
      </c>
      <c r="B99" s="67" t="s">
        <v>2140</v>
      </c>
      <c r="C99" s="67">
        <v>2</v>
      </c>
      <c r="D99" s="139">
        <v>0.003339787015918944</v>
      </c>
      <c r="E99" s="139">
        <v>2.66228551572213</v>
      </c>
      <c r="F99" s="67" t="s">
        <v>2234</v>
      </c>
      <c r="G99" s="67" t="b">
        <v>0</v>
      </c>
      <c r="H99" s="67" t="b">
        <v>0</v>
      </c>
      <c r="I99" s="67" t="b">
        <v>0</v>
      </c>
      <c r="J99" s="67" t="b">
        <v>0</v>
      </c>
      <c r="K99" s="67" t="b">
        <v>0</v>
      </c>
      <c r="L99" s="67" t="b">
        <v>0</v>
      </c>
    </row>
    <row r="100" spans="1:12" ht="15">
      <c r="A100" s="136" t="s">
        <v>2110</v>
      </c>
      <c r="B100" s="67" t="s">
        <v>2193</v>
      </c>
      <c r="C100" s="67">
        <v>2</v>
      </c>
      <c r="D100" s="139">
        <v>0.003339787015918944</v>
      </c>
      <c r="E100" s="139">
        <v>2.66228551572213</v>
      </c>
      <c r="F100" s="67" t="s">
        <v>2234</v>
      </c>
      <c r="G100" s="67" t="b">
        <v>0</v>
      </c>
      <c r="H100" s="67" t="b">
        <v>0</v>
      </c>
      <c r="I100" s="67" t="b">
        <v>0</v>
      </c>
      <c r="J100" s="67" t="b">
        <v>0</v>
      </c>
      <c r="K100" s="67" t="b">
        <v>0</v>
      </c>
      <c r="L100" s="67" t="b">
        <v>0</v>
      </c>
    </row>
    <row r="101" spans="1:12" ht="15">
      <c r="A101" s="136" t="s">
        <v>2111</v>
      </c>
      <c r="B101" s="67" t="s">
        <v>2126</v>
      </c>
      <c r="C101" s="67">
        <v>2</v>
      </c>
      <c r="D101" s="139">
        <v>0.003339787015918944</v>
      </c>
      <c r="E101" s="139">
        <v>2.66228551572213</v>
      </c>
      <c r="F101" s="67" t="s">
        <v>2234</v>
      </c>
      <c r="G101" s="67" t="b">
        <v>0</v>
      </c>
      <c r="H101" s="67" t="b">
        <v>0</v>
      </c>
      <c r="I101" s="67" t="b">
        <v>0</v>
      </c>
      <c r="J101" s="67" t="b">
        <v>0</v>
      </c>
      <c r="K101" s="67" t="b">
        <v>0</v>
      </c>
      <c r="L101" s="67" t="b">
        <v>0</v>
      </c>
    </row>
    <row r="102" spans="1:12" ht="15">
      <c r="A102" s="136" t="s">
        <v>2085</v>
      </c>
      <c r="B102" s="67" t="s">
        <v>2077</v>
      </c>
      <c r="C102" s="67">
        <v>2</v>
      </c>
      <c r="D102" s="139">
        <v>0.003339787015918944</v>
      </c>
      <c r="E102" s="139">
        <v>2.66228551572213</v>
      </c>
      <c r="F102" s="67" t="s">
        <v>2234</v>
      </c>
      <c r="G102" s="67" t="b">
        <v>0</v>
      </c>
      <c r="H102" s="67" t="b">
        <v>0</v>
      </c>
      <c r="I102" s="67" t="b">
        <v>0</v>
      </c>
      <c r="J102" s="67" t="b">
        <v>0</v>
      </c>
      <c r="K102" s="67" t="b">
        <v>0</v>
      </c>
      <c r="L102" s="67" t="b">
        <v>0</v>
      </c>
    </row>
    <row r="103" spans="1:12" ht="15">
      <c r="A103" s="136" t="s">
        <v>2184</v>
      </c>
      <c r="B103" s="67" t="s">
        <v>2113</v>
      </c>
      <c r="C103" s="67">
        <v>2</v>
      </c>
      <c r="D103" s="139">
        <v>0.003339787015918944</v>
      </c>
      <c r="E103" s="139">
        <v>2.66228551572213</v>
      </c>
      <c r="F103" s="67" t="s">
        <v>2234</v>
      </c>
      <c r="G103" s="67" t="b">
        <v>0</v>
      </c>
      <c r="H103" s="67" t="b">
        <v>0</v>
      </c>
      <c r="I103" s="67" t="b">
        <v>0</v>
      </c>
      <c r="J103" s="67" t="b">
        <v>0</v>
      </c>
      <c r="K103" s="67" t="b">
        <v>0</v>
      </c>
      <c r="L103" s="67" t="b">
        <v>0</v>
      </c>
    </row>
    <row r="104" spans="1:12" ht="15">
      <c r="A104" s="136" t="s">
        <v>2223</v>
      </c>
      <c r="B104" s="67" t="s">
        <v>2117</v>
      </c>
      <c r="C104" s="67">
        <v>2</v>
      </c>
      <c r="D104" s="139">
        <v>0.003339787015918944</v>
      </c>
      <c r="E104" s="139">
        <v>2.66228551572213</v>
      </c>
      <c r="F104" s="67" t="s">
        <v>2234</v>
      </c>
      <c r="G104" s="67" t="b">
        <v>0</v>
      </c>
      <c r="H104" s="67" t="b">
        <v>0</v>
      </c>
      <c r="I104" s="67" t="b">
        <v>0</v>
      </c>
      <c r="J104" s="67" t="b">
        <v>0</v>
      </c>
      <c r="K104" s="67" t="b">
        <v>0</v>
      </c>
      <c r="L104" s="67" t="b">
        <v>0</v>
      </c>
    </row>
    <row r="105" spans="1:12" ht="15">
      <c r="A105" s="136" t="s">
        <v>2154</v>
      </c>
      <c r="B105" s="67" t="s">
        <v>2202</v>
      </c>
      <c r="C105" s="67">
        <v>2</v>
      </c>
      <c r="D105" s="139">
        <v>0.003339787015918944</v>
      </c>
      <c r="E105" s="139">
        <v>2.66228551572213</v>
      </c>
      <c r="F105" s="67" t="s">
        <v>2234</v>
      </c>
      <c r="G105" s="67" t="b">
        <v>0</v>
      </c>
      <c r="H105" s="67" t="b">
        <v>0</v>
      </c>
      <c r="I105" s="67" t="b">
        <v>0</v>
      </c>
      <c r="J105" s="67" t="b">
        <v>0</v>
      </c>
      <c r="K105" s="67" t="b">
        <v>0</v>
      </c>
      <c r="L105" s="67" t="b">
        <v>0</v>
      </c>
    </row>
    <row r="106" spans="1:12" ht="15">
      <c r="A106" s="136" t="s">
        <v>2115</v>
      </c>
      <c r="B106" s="67" t="s">
        <v>2206</v>
      </c>
      <c r="C106" s="67">
        <v>2</v>
      </c>
      <c r="D106" s="139">
        <v>0.003339787015918944</v>
      </c>
      <c r="E106" s="139">
        <v>2.66228551572213</v>
      </c>
      <c r="F106" s="67" t="s">
        <v>2234</v>
      </c>
      <c r="G106" s="67" t="b">
        <v>0</v>
      </c>
      <c r="H106" s="67" t="b">
        <v>0</v>
      </c>
      <c r="I106" s="67" t="b">
        <v>0</v>
      </c>
      <c r="J106" s="67" t="b">
        <v>0</v>
      </c>
      <c r="K106" s="67" t="b">
        <v>0</v>
      </c>
      <c r="L106" s="67" t="b">
        <v>0</v>
      </c>
    </row>
    <row r="107" spans="1:12" ht="15">
      <c r="A107" s="136" t="s">
        <v>2232</v>
      </c>
      <c r="B107" s="67" t="s">
        <v>2101</v>
      </c>
      <c r="C107" s="67">
        <v>2</v>
      </c>
      <c r="D107" s="139">
        <v>0.003339787015918944</v>
      </c>
      <c r="E107" s="139">
        <v>2.66228551572213</v>
      </c>
      <c r="F107" s="67" t="s">
        <v>2234</v>
      </c>
      <c r="G107" s="67" t="b">
        <v>0</v>
      </c>
      <c r="H107" s="67" t="b">
        <v>0</v>
      </c>
      <c r="I107" s="67" t="b">
        <v>0</v>
      </c>
      <c r="J107" s="67" t="b">
        <v>0</v>
      </c>
      <c r="K107" s="67" t="b">
        <v>0</v>
      </c>
      <c r="L107" s="67" t="b">
        <v>0</v>
      </c>
    </row>
    <row r="108" spans="1:12" ht="15">
      <c r="A108" s="136" t="s">
        <v>1840</v>
      </c>
      <c r="B108" s="67" t="s">
        <v>1838</v>
      </c>
      <c r="C108" s="67">
        <v>2</v>
      </c>
      <c r="D108" s="139">
        <v>0.003339787015918944</v>
      </c>
      <c r="E108" s="139">
        <v>2.361255520058149</v>
      </c>
      <c r="F108" s="67" t="s">
        <v>2234</v>
      </c>
      <c r="G108" s="67" t="b">
        <v>0</v>
      </c>
      <c r="H108" s="67" t="b">
        <v>0</v>
      </c>
      <c r="I108" s="67" t="b">
        <v>0</v>
      </c>
      <c r="J108" s="67" t="b">
        <v>0</v>
      </c>
      <c r="K108" s="67" t="b">
        <v>0</v>
      </c>
      <c r="L108" s="67" t="b">
        <v>0</v>
      </c>
    </row>
    <row r="109" spans="1:12" ht="15">
      <c r="A109" s="136" t="s">
        <v>2065</v>
      </c>
      <c r="B109" s="67" t="s">
        <v>2174</v>
      </c>
      <c r="C109" s="67">
        <v>2</v>
      </c>
      <c r="D109" s="139">
        <v>0.003339787015918944</v>
      </c>
      <c r="E109" s="139">
        <v>2.4861942566664488</v>
      </c>
      <c r="F109" s="67" t="s">
        <v>2234</v>
      </c>
      <c r="G109" s="67" t="b">
        <v>0</v>
      </c>
      <c r="H109" s="67" t="b">
        <v>0</v>
      </c>
      <c r="I109" s="67" t="b">
        <v>0</v>
      </c>
      <c r="J109" s="67" t="b">
        <v>0</v>
      </c>
      <c r="K109" s="67" t="b">
        <v>0</v>
      </c>
      <c r="L109" s="67" t="b">
        <v>0</v>
      </c>
    </row>
    <row r="110" spans="1:12" ht="15">
      <c r="A110" s="136" t="s">
        <v>2127</v>
      </c>
      <c r="B110" s="67" t="s">
        <v>2232</v>
      </c>
      <c r="C110" s="67">
        <v>2</v>
      </c>
      <c r="D110" s="139">
        <v>0.003339787015918944</v>
      </c>
      <c r="E110" s="139">
        <v>2.66228551572213</v>
      </c>
      <c r="F110" s="67" t="s">
        <v>2234</v>
      </c>
      <c r="G110" s="67" t="b">
        <v>0</v>
      </c>
      <c r="H110" s="67" t="b">
        <v>0</v>
      </c>
      <c r="I110" s="67" t="b">
        <v>0</v>
      </c>
      <c r="J110" s="67" t="b">
        <v>0</v>
      </c>
      <c r="K110" s="67" t="b">
        <v>0</v>
      </c>
      <c r="L110" s="67" t="b">
        <v>0</v>
      </c>
    </row>
    <row r="111" spans="1:12" ht="15">
      <c r="A111" s="136" t="s">
        <v>1835</v>
      </c>
      <c r="B111" s="67" t="s">
        <v>2099</v>
      </c>
      <c r="C111" s="67">
        <v>2</v>
      </c>
      <c r="D111" s="139">
        <v>0.003339787015918944</v>
      </c>
      <c r="E111" s="139">
        <v>2.2643455070500926</v>
      </c>
      <c r="F111" s="67" t="s">
        <v>2234</v>
      </c>
      <c r="G111" s="67" t="b">
        <v>0</v>
      </c>
      <c r="H111" s="67" t="b">
        <v>0</v>
      </c>
      <c r="I111" s="67" t="b">
        <v>0</v>
      </c>
      <c r="J111" s="67" t="b">
        <v>0</v>
      </c>
      <c r="K111" s="67" t="b">
        <v>0</v>
      </c>
      <c r="L111" s="67" t="b">
        <v>0</v>
      </c>
    </row>
    <row r="112" spans="1:12" ht="15">
      <c r="A112" s="136" t="s">
        <v>1845</v>
      </c>
      <c r="B112" s="67" t="s">
        <v>1844</v>
      </c>
      <c r="C112" s="67">
        <v>2</v>
      </c>
      <c r="D112" s="139">
        <v>0.003339787015918944</v>
      </c>
      <c r="E112" s="139">
        <v>2.66228551572213</v>
      </c>
      <c r="F112" s="67" t="s">
        <v>2234</v>
      </c>
      <c r="G112" s="67" t="b">
        <v>0</v>
      </c>
      <c r="H112" s="67" t="b">
        <v>0</v>
      </c>
      <c r="I112" s="67" t="b">
        <v>0</v>
      </c>
      <c r="J112" s="67" t="b">
        <v>0</v>
      </c>
      <c r="K112" s="67" t="b">
        <v>0</v>
      </c>
      <c r="L112" s="67" t="b">
        <v>0</v>
      </c>
    </row>
    <row r="113" spans="1:12" ht="15">
      <c r="A113" s="136" t="s">
        <v>2113</v>
      </c>
      <c r="B113" s="67" t="s">
        <v>2221</v>
      </c>
      <c r="C113" s="67">
        <v>2</v>
      </c>
      <c r="D113" s="139">
        <v>0.003339787015918944</v>
      </c>
      <c r="E113" s="139">
        <v>2.66228551572213</v>
      </c>
      <c r="F113" s="67" t="s">
        <v>2234</v>
      </c>
      <c r="G113" s="67" t="b">
        <v>0</v>
      </c>
      <c r="H113" s="67" t="b">
        <v>0</v>
      </c>
      <c r="I113" s="67" t="b">
        <v>0</v>
      </c>
      <c r="J113" s="67" t="b">
        <v>0</v>
      </c>
      <c r="K113" s="67" t="b">
        <v>0</v>
      </c>
      <c r="L113" s="67" t="b">
        <v>0</v>
      </c>
    </row>
    <row r="114" spans="1:12" ht="15">
      <c r="A114" s="136" t="s">
        <v>2097</v>
      </c>
      <c r="B114" s="67" t="s">
        <v>2164</v>
      </c>
      <c r="C114" s="67">
        <v>2</v>
      </c>
      <c r="D114" s="139">
        <v>0.003339787015918944</v>
      </c>
      <c r="E114" s="139">
        <v>2.66228551572213</v>
      </c>
      <c r="F114" s="67" t="s">
        <v>2234</v>
      </c>
      <c r="G114" s="67" t="b">
        <v>0</v>
      </c>
      <c r="H114" s="67" t="b">
        <v>0</v>
      </c>
      <c r="I114" s="67" t="b">
        <v>0</v>
      </c>
      <c r="J114" s="67" t="b">
        <v>0</v>
      </c>
      <c r="K114" s="67" t="b">
        <v>0</v>
      </c>
      <c r="L114" s="67" t="b">
        <v>0</v>
      </c>
    </row>
    <row r="115" spans="1:12" ht="15">
      <c r="A115" s="136" t="s">
        <v>2088</v>
      </c>
      <c r="B115" s="67" t="s">
        <v>2222</v>
      </c>
      <c r="C115" s="67">
        <v>2</v>
      </c>
      <c r="D115" s="139">
        <v>0.003339787015918944</v>
      </c>
      <c r="E115" s="139">
        <v>2.66228551572213</v>
      </c>
      <c r="F115" s="67" t="s">
        <v>2234</v>
      </c>
      <c r="G115" s="67" t="b">
        <v>0</v>
      </c>
      <c r="H115" s="67" t="b">
        <v>0</v>
      </c>
      <c r="I115" s="67" t="b">
        <v>0</v>
      </c>
      <c r="J115" s="67" t="b">
        <v>0</v>
      </c>
      <c r="K115" s="67" t="b">
        <v>0</v>
      </c>
      <c r="L115" s="67" t="b">
        <v>0</v>
      </c>
    </row>
    <row r="116" spans="1:12" ht="15">
      <c r="A116" s="136" t="s">
        <v>2070</v>
      </c>
      <c r="B116" s="67" t="s">
        <v>1841</v>
      </c>
      <c r="C116" s="67">
        <v>2</v>
      </c>
      <c r="D116" s="139">
        <v>0.003339787015918944</v>
      </c>
      <c r="E116" s="139">
        <v>2.66228551572213</v>
      </c>
      <c r="F116" s="67" t="s">
        <v>2234</v>
      </c>
      <c r="G116" s="67" t="b">
        <v>0</v>
      </c>
      <c r="H116" s="67" t="b">
        <v>0</v>
      </c>
      <c r="I116" s="67" t="b">
        <v>0</v>
      </c>
      <c r="J116" s="67" t="b">
        <v>0</v>
      </c>
      <c r="K116" s="67" t="b">
        <v>0</v>
      </c>
      <c r="L116" s="67" t="b">
        <v>0</v>
      </c>
    </row>
    <row r="117" spans="1:12" ht="15">
      <c r="A117" s="136" t="s">
        <v>2059</v>
      </c>
      <c r="B117" s="67" t="s">
        <v>2208</v>
      </c>
      <c r="C117" s="67">
        <v>2</v>
      </c>
      <c r="D117" s="139">
        <v>0.003339787015918944</v>
      </c>
      <c r="E117" s="139">
        <v>2.4861942566664488</v>
      </c>
      <c r="F117" s="67" t="s">
        <v>2234</v>
      </c>
      <c r="G117" s="67" t="b">
        <v>0</v>
      </c>
      <c r="H117" s="67" t="b">
        <v>0</v>
      </c>
      <c r="I117" s="67" t="b">
        <v>0</v>
      </c>
      <c r="J117" s="67" t="b">
        <v>0</v>
      </c>
      <c r="K117" s="67" t="b">
        <v>0</v>
      </c>
      <c r="L117" s="67" t="b">
        <v>0</v>
      </c>
    </row>
    <row r="118" spans="1:12" ht="15">
      <c r="A118" s="136" t="s">
        <v>2194</v>
      </c>
      <c r="B118" s="67" t="s">
        <v>2115</v>
      </c>
      <c r="C118" s="67">
        <v>2</v>
      </c>
      <c r="D118" s="139">
        <v>0.003339787015918944</v>
      </c>
      <c r="E118" s="139">
        <v>2.66228551572213</v>
      </c>
      <c r="F118" s="67" t="s">
        <v>2234</v>
      </c>
      <c r="G118" s="67" t="b">
        <v>0</v>
      </c>
      <c r="H118" s="67" t="b">
        <v>0</v>
      </c>
      <c r="I118" s="67" t="b">
        <v>0</v>
      </c>
      <c r="J118" s="67" t="b">
        <v>0</v>
      </c>
      <c r="K118" s="67" t="b">
        <v>0</v>
      </c>
      <c r="L118" s="67" t="b">
        <v>0</v>
      </c>
    </row>
    <row r="119" spans="1:12" ht="15">
      <c r="A119" s="136" t="s">
        <v>2204</v>
      </c>
      <c r="B119" s="67" t="s">
        <v>2080</v>
      </c>
      <c r="C119" s="67">
        <v>2</v>
      </c>
      <c r="D119" s="139">
        <v>0.003339787015918944</v>
      </c>
      <c r="E119" s="139">
        <v>2.66228551572213</v>
      </c>
      <c r="F119" s="67" t="s">
        <v>2234</v>
      </c>
      <c r="G119" s="67" t="b">
        <v>0</v>
      </c>
      <c r="H119" s="67" t="b">
        <v>0</v>
      </c>
      <c r="I119" s="67" t="b">
        <v>0</v>
      </c>
      <c r="J119" s="67" t="b">
        <v>0</v>
      </c>
      <c r="K119" s="67" t="b">
        <v>0</v>
      </c>
      <c r="L119" s="67" t="b">
        <v>0</v>
      </c>
    </row>
    <row r="120" spans="1:12" ht="15">
      <c r="A120" s="136" t="s">
        <v>2205</v>
      </c>
      <c r="B120" s="67" t="s">
        <v>2102</v>
      </c>
      <c r="C120" s="67">
        <v>2</v>
      </c>
      <c r="D120" s="139">
        <v>0.003339787015918944</v>
      </c>
      <c r="E120" s="139">
        <v>2.66228551572213</v>
      </c>
      <c r="F120" s="67" t="s">
        <v>2234</v>
      </c>
      <c r="G120" s="67" t="b">
        <v>0</v>
      </c>
      <c r="H120" s="67" t="b">
        <v>0</v>
      </c>
      <c r="I120" s="67" t="b">
        <v>0</v>
      </c>
      <c r="J120" s="67" t="b">
        <v>0</v>
      </c>
      <c r="K120" s="67" t="b">
        <v>0</v>
      </c>
      <c r="L120" s="67" t="b">
        <v>0</v>
      </c>
    </row>
    <row r="121" spans="1:12" ht="15">
      <c r="A121" s="136" t="s">
        <v>2196</v>
      </c>
      <c r="B121" s="67" t="s">
        <v>1808</v>
      </c>
      <c r="C121" s="67">
        <v>2</v>
      </c>
      <c r="D121" s="139">
        <v>0.003339787015918944</v>
      </c>
      <c r="E121" s="139">
        <v>2.361255520058149</v>
      </c>
      <c r="F121" s="67" t="s">
        <v>2234</v>
      </c>
      <c r="G121" s="67" t="b">
        <v>0</v>
      </c>
      <c r="H121" s="67" t="b">
        <v>0</v>
      </c>
      <c r="I121" s="67" t="b">
        <v>0</v>
      </c>
      <c r="J121" s="67" t="b">
        <v>0</v>
      </c>
      <c r="K121" s="67" t="b">
        <v>0</v>
      </c>
      <c r="L121" s="67" t="b">
        <v>0</v>
      </c>
    </row>
    <row r="122" spans="1:12" ht="15">
      <c r="A122" s="136" t="s">
        <v>2090</v>
      </c>
      <c r="B122" s="67" t="s">
        <v>308</v>
      </c>
      <c r="C122" s="67">
        <v>2</v>
      </c>
      <c r="D122" s="139">
        <v>0.003339787015918944</v>
      </c>
      <c r="E122" s="139">
        <v>2.66228551572213</v>
      </c>
      <c r="F122" s="67" t="s">
        <v>2234</v>
      </c>
      <c r="G122" s="67" t="b">
        <v>0</v>
      </c>
      <c r="H122" s="67" t="b">
        <v>0</v>
      </c>
      <c r="I122" s="67" t="b">
        <v>0</v>
      </c>
      <c r="J122" s="67" t="b">
        <v>0</v>
      </c>
      <c r="K122" s="67" t="b">
        <v>0</v>
      </c>
      <c r="L122" s="67" t="b">
        <v>0</v>
      </c>
    </row>
    <row r="123" spans="1:12" ht="15">
      <c r="A123" s="136" t="s">
        <v>1807</v>
      </c>
      <c r="B123" s="67" t="s">
        <v>2179</v>
      </c>
      <c r="C123" s="67">
        <v>2</v>
      </c>
      <c r="D123" s="139">
        <v>0.003339787015918944</v>
      </c>
      <c r="E123" s="139">
        <v>2.361255520058149</v>
      </c>
      <c r="F123" s="67" t="s">
        <v>2234</v>
      </c>
      <c r="G123" s="67" t="b">
        <v>0</v>
      </c>
      <c r="H123" s="67" t="b">
        <v>0</v>
      </c>
      <c r="I123" s="67" t="b">
        <v>0</v>
      </c>
      <c r="J123" s="67" t="b">
        <v>0</v>
      </c>
      <c r="K123" s="67" t="b">
        <v>0</v>
      </c>
      <c r="L123" s="67" t="b">
        <v>0</v>
      </c>
    </row>
    <row r="124" spans="1:12" ht="15">
      <c r="A124" s="136" t="s">
        <v>2186</v>
      </c>
      <c r="B124" s="67" t="s">
        <v>2089</v>
      </c>
      <c r="C124" s="67">
        <v>2</v>
      </c>
      <c r="D124" s="139">
        <v>0.003339787015918944</v>
      </c>
      <c r="E124" s="139">
        <v>2.66228551572213</v>
      </c>
      <c r="F124" s="67" t="s">
        <v>2234</v>
      </c>
      <c r="G124" s="67" t="b">
        <v>0</v>
      </c>
      <c r="H124" s="67" t="b">
        <v>0</v>
      </c>
      <c r="I124" s="67" t="b">
        <v>0</v>
      </c>
      <c r="J124" s="67" t="b">
        <v>0</v>
      </c>
      <c r="K124" s="67" t="b">
        <v>0</v>
      </c>
      <c r="L124" s="67" t="b">
        <v>0</v>
      </c>
    </row>
    <row r="125" spans="1:12" ht="15">
      <c r="A125" s="136" t="s">
        <v>1847</v>
      </c>
      <c r="B125" s="67" t="s">
        <v>1849</v>
      </c>
      <c r="C125" s="67">
        <v>2</v>
      </c>
      <c r="D125" s="139">
        <v>0.003339787015918944</v>
      </c>
      <c r="E125" s="139">
        <v>2.66228551572213</v>
      </c>
      <c r="F125" s="67" t="s">
        <v>2234</v>
      </c>
      <c r="G125" s="67" t="b">
        <v>0</v>
      </c>
      <c r="H125" s="67" t="b">
        <v>0</v>
      </c>
      <c r="I125" s="67" t="b">
        <v>0</v>
      </c>
      <c r="J125" s="67" t="b">
        <v>0</v>
      </c>
      <c r="K125" s="67" t="b">
        <v>0</v>
      </c>
      <c r="L125" s="67" t="b">
        <v>0</v>
      </c>
    </row>
    <row r="126" spans="1:12" ht="15">
      <c r="A126" s="136" t="s">
        <v>913</v>
      </c>
      <c r="B126" s="67" t="s">
        <v>2066</v>
      </c>
      <c r="C126" s="67">
        <v>2</v>
      </c>
      <c r="D126" s="139">
        <v>0.003339787015918944</v>
      </c>
      <c r="E126" s="139">
        <v>2.3101029976107674</v>
      </c>
      <c r="F126" s="67" t="s">
        <v>2234</v>
      </c>
      <c r="G126" s="67" t="b">
        <v>0</v>
      </c>
      <c r="H126" s="67" t="b">
        <v>0</v>
      </c>
      <c r="I126" s="67" t="b">
        <v>0</v>
      </c>
      <c r="J126" s="67" t="b">
        <v>0</v>
      </c>
      <c r="K126" s="67" t="b">
        <v>0</v>
      </c>
      <c r="L126" s="67" t="b">
        <v>0</v>
      </c>
    </row>
    <row r="127" spans="1:12" ht="15">
      <c r="A127" s="136" t="s">
        <v>2068</v>
      </c>
      <c r="B127" s="67" t="s">
        <v>2098</v>
      </c>
      <c r="C127" s="67">
        <v>2</v>
      </c>
      <c r="D127" s="139">
        <v>0.003339787015918944</v>
      </c>
      <c r="E127" s="139">
        <v>2.66228551572213</v>
      </c>
      <c r="F127" s="67" t="s">
        <v>2234</v>
      </c>
      <c r="G127" s="67" t="b">
        <v>0</v>
      </c>
      <c r="H127" s="67" t="b">
        <v>0</v>
      </c>
      <c r="I127" s="67" t="b">
        <v>0</v>
      </c>
      <c r="J127" s="67" t="b">
        <v>0</v>
      </c>
      <c r="K127" s="67" t="b">
        <v>0</v>
      </c>
      <c r="L127" s="67" t="b">
        <v>0</v>
      </c>
    </row>
    <row r="128" spans="1:12" ht="15">
      <c r="A128" s="136" t="s">
        <v>2161</v>
      </c>
      <c r="B128" s="67" t="s">
        <v>2133</v>
      </c>
      <c r="C128" s="67">
        <v>2</v>
      </c>
      <c r="D128" s="139">
        <v>0.003339787015918944</v>
      </c>
      <c r="E128" s="139">
        <v>2.66228551572213</v>
      </c>
      <c r="F128" s="67" t="s">
        <v>2234</v>
      </c>
      <c r="G128" s="67" t="b">
        <v>0</v>
      </c>
      <c r="H128" s="67" t="b">
        <v>0</v>
      </c>
      <c r="I128" s="67" t="b">
        <v>0</v>
      </c>
      <c r="J128" s="67" t="b">
        <v>0</v>
      </c>
      <c r="K128" s="67" t="b">
        <v>0</v>
      </c>
      <c r="L128" s="67" t="b">
        <v>0</v>
      </c>
    </row>
    <row r="129" spans="1:12" ht="15">
      <c r="A129" s="136" t="s">
        <v>2100</v>
      </c>
      <c r="B129" s="67" t="s">
        <v>2139</v>
      </c>
      <c r="C129" s="67">
        <v>2</v>
      </c>
      <c r="D129" s="139">
        <v>0.003339787015918944</v>
      </c>
      <c r="E129" s="139">
        <v>2.66228551572213</v>
      </c>
      <c r="F129" s="67" t="s">
        <v>2234</v>
      </c>
      <c r="G129" s="67" t="b">
        <v>0</v>
      </c>
      <c r="H129" s="67" t="b">
        <v>0</v>
      </c>
      <c r="I129" s="67" t="b">
        <v>0</v>
      </c>
      <c r="J129" s="67" t="b">
        <v>0</v>
      </c>
      <c r="K129" s="67" t="b">
        <v>0</v>
      </c>
      <c r="L129" s="67" t="b">
        <v>0</v>
      </c>
    </row>
    <row r="130" spans="1:12" ht="15">
      <c r="A130" s="136" t="s">
        <v>2213</v>
      </c>
      <c r="B130" s="67" t="s">
        <v>2116</v>
      </c>
      <c r="C130" s="67">
        <v>2</v>
      </c>
      <c r="D130" s="139">
        <v>0.003339787015918944</v>
      </c>
      <c r="E130" s="139">
        <v>2.66228551572213</v>
      </c>
      <c r="F130" s="67" t="s">
        <v>2234</v>
      </c>
      <c r="G130" s="67" t="b">
        <v>0</v>
      </c>
      <c r="H130" s="67" t="b">
        <v>0</v>
      </c>
      <c r="I130" s="67" t="b">
        <v>0</v>
      </c>
      <c r="J130" s="67" t="b">
        <v>0</v>
      </c>
      <c r="K130" s="67" t="b">
        <v>0</v>
      </c>
      <c r="L130" s="67" t="b">
        <v>0</v>
      </c>
    </row>
    <row r="131" spans="1:12" ht="15">
      <c r="A131" s="136" t="s">
        <v>1839</v>
      </c>
      <c r="B131" s="67" t="s">
        <v>2203</v>
      </c>
      <c r="C131" s="67">
        <v>2</v>
      </c>
      <c r="D131" s="139">
        <v>0.003339787015918944</v>
      </c>
      <c r="E131" s="139">
        <v>2.66228551572213</v>
      </c>
      <c r="F131" s="67" t="s">
        <v>2234</v>
      </c>
      <c r="G131" s="67" t="b">
        <v>0</v>
      </c>
      <c r="H131" s="67" t="b">
        <v>0</v>
      </c>
      <c r="I131" s="67" t="b">
        <v>0</v>
      </c>
      <c r="J131" s="67" t="b">
        <v>0</v>
      </c>
      <c r="K131" s="67" t="b">
        <v>0</v>
      </c>
      <c r="L131" s="67" t="b">
        <v>0</v>
      </c>
    </row>
    <row r="132" spans="1:12" ht="15">
      <c r="A132" s="136" t="s">
        <v>2231</v>
      </c>
      <c r="B132" s="67" t="s">
        <v>2123</v>
      </c>
      <c r="C132" s="67">
        <v>2</v>
      </c>
      <c r="D132" s="139">
        <v>0.003339787015918944</v>
      </c>
      <c r="E132" s="139">
        <v>2.66228551572213</v>
      </c>
      <c r="F132" s="67" t="s">
        <v>2234</v>
      </c>
      <c r="G132" s="67" t="b">
        <v>0</v>
      </c>
      <c r="H132" s="67" t="b">
        <v>0</v>
      </c>
      <c r="I132" s="67" t="b">
        <v>0</v>
      </c>
      <c r="J132" s="67" t="b">
        <v>0</v>
      </c>
      <c r="K132" s="67" t="b">
        <v>0</v>
      </c>
      <c r="L132" s="67" t="b">
        <v>0</v>
      </c>
    </row>
    <row r="133" spans="1:12" ht="15">
      <c r="A133" s="136" t="s">
        <v>2217</v>
      </c>
      <c r="B133" s="67" t="s">
        <v>1826</v>
      </c>
      <c r="C133" s="67">
        <v>2</v>
      </c>
      <c r="D133" s="139">
        <v>0.003339787015918944</v>
      </c>
      <c r="E133" s="139">
        <v>2.361255520058149</v>
      </c>
      <c r="F133" s="67" t="s">
        <v>2234</v>
      </c>
      <c r="G133" s="67" t="b">
        <v>0</v>
      </c>
      <c r="H133" s="67" t="b">
        <v>0</v>
      </c>
      <c r="I133" s="67" t="b">
        <v>0</v>
      </c>
      <c r="J133" s="67" t="b">
        <v>0</v>
      </c>
      <c r="K133" s="67" t="b">
        <v>0</v>
      </c>
      <c r="L133" s="67" t="b">
        <v>0</v>
      </c>
    </row>
    <row r="134" spans="1:12" ht="15">
      <c r="A134" s="136" t="s">
        <v>2084</v>
      </c>
      <c r="B134" s="67" t="s">
        <v>1839</v>
      </c>
      <c r="C134" s="67">
        <v>2</v>
      </c>
      <c r="D134" s="139">
        <v>0.003339787015918944</v>
      </c>
      <c r="E134" s="139">
        <v>2.66228551572213</v>
      </c>
      <c r="F134" s="67" t="s">
        <v>2234</v>
      </c>
      <c r="G134" s="67" t="b">
        <v>0</v>
      </c>
      <c r="H134" s="67" t="b">
        <v>0</v>
      </c>
      <c r="I134" s="67" t="b">
        <v>0</v>
      </c>
      <c r="J134" s="67" t="b">
        <v>0</v>
      </c>
      <c r="K134" s="67" t="b">
        <v>0</v>
      </c>
      <c r="L134" s="67" t="b">
        <v>0</v>
      </c>
    </row>
    <row r="135" spans="1:12" ht="15">
      <c r="A135" s="136" t="s">
        <v>1835</v>
      </c>
      <c r="B135" s="67" t="s">
        <v>2076</v>
      </c>
      <c r="C135" s="67">
        <v>2</v>
      </c>
      <c r="D135" s="139">
        <v>0.003339787015918944</v>
      </c>
      <c r="E135" s="139">
        <v>2.2643455070500926</v>
      </c>
      <c r="F135" s="67" t="s">
        <v>2234</v>
      </c>
      <c r="G135" s="67" t="b">
        <v>0</v>
      </c>
      <c r="H135" s="67" t="b">
        <v>0</v>
      </c>
      <c r="I135" s="67" t="b">
        <v>0</v>
      </c>
      <c r="J135" s="67" t="b">
        <v>0</v>
      </c>
      <c r="K135" s="67" t="b">
        <v>0</v>
      </c>
      <c r="L135" s="67" t="b">
        <v>0</v>
      </c>
    </row>
    <row r="136" spans="1:12" ht="15">
      <c r="A136" s="136" t="s">
        <v>2126</v>
      </c>
      <c r="B136" s="67" t="s">
        <v>2067</v>
      </c>
      <c r="C136" s="67">
        <v>2</v>
      </c>
      <c r="D136" s="139">
        <v>0.003339787015918944</v>
      </c>
      <c r="E136" s="139">
        <v>2.66228551572213</v>
      </c>
      <c r="F136" s="67" t="s">
        <v>2234</v>
      </c>
      <c r="G136" s="67" t="b">
        <v>0</v>
      </c>
      <c r="H136" s="67" t="b">
        <v>0</v>
      </c>
      <c r="I136" s="67" t="b">
        <v>0</v>
      </c>
      <c r="J136" s="67" t="b">
        <v>0</v>
      </c>
      <c r="K136" s="67" t="b">
        <v>0</v>
      </c>
      <c r="L136" s="67" t="b">
        <v>0</v>
      </c>
    </row>
    <row r="137" spans="1:12" ht="15">
      <c r="A137" s="136" t="s">
        <v>1806</v>
      </c>
      <c r="B137" s="67" t="s">
        <v>2176</v>
      </c>
      <c r="C137" s="67">
        <v>2</v>
      </c>
      <c r="D137" s="139">
        <v>0.003339787015918944</v>
      </c>
      <c r="E137" s="139">
        <v>2.1851642610024675</v>
      </c>
      <c r="F137" s="67" t="s">
        <v>2234</v>
      </c>
      <c r="G137" s="67" t="b">
        <v>0</v>
      </c>
      <c r="H137" s="67" t="b">
        <v>0</v>
      </c>
      <c r="I137" s="67" t="b">
        <v>0</v>
      </c>
      <c r="J137" s="67" t="b">
        <v>0</v>
      </c>
      <c r="K137" s="67" t="b">
        <v>0</v>
      </c>
      <c r="L137" s="67" t="b">
        <v>0</v>
      </c>
    </row>
    <row r="138" spans="1:12" ht="15">
      <c r="A138" s="136" t="s">
        <v>2219</v>
      </c>
      <c r="B138" s="67" t="s">
        <v>2111</v>
      </c>
      <c r="C138" s="67">
        <v>2</v>
      </c>
      <c r="D138" s="139">
        <v>0.003339787015918944</v>
      </c>
      <c r="E138" s="139">
        <v>2.66228551572213</v>
      </c>
      <c r="F138" s="67" t="s">
        <v>2234</v>
      </c>
      <c r="G138" s="67" t="b">
        <v>0</v>
      </c>
      <c r="H138" s="67" t="b">
        <v>0</v>
      </c>
      <c r="I138" s="67" t="b">
        <v>0</v>
      </c>
      <c r="J138" s="67" t="b">
        <v>0</v>
      </c>
      <c r="K138" s="67" t="b">
        <v>0</v>
      </c>
      <c r="L138" s="67" t="b">
        <v>0</v>
      </c>
    </row>
    <row r="139" spans="1:12" ht="15">
      <c r="A139" s="136" t="s">
        <v>2112</v>
      </c>
      <c r="B139" s="67" t="s">
        <v>2207</v>
      </c>
      <c r="C139" s="67">
        <v>2</v>
      </c>
      <c r="D139" s="139">
        <v>0.003339787015918944</v>
      </c>
      <c r="E139" s="139">
        <v>2.66228551572213</v>
      </c>
      <c r="F139" s="67" t="s">
        <v>2234</v>
      </c>
      <c r="G139" s="67" t="b">
        <v>0</v>
      </c>
      <c r="H139" s="67" t="b">
        <v>0</v>
      </c>
      <c r="I139" s="67" t="b">
        <v>0</v>
      </c>
      <c r="J139" s="67" t="b">
        <v>0</v>
      </c>
      <c r="K139" s="67" t="b">
        <v>0</v>
      </c>
      <c r="L139" s="67" t="b">
        <v>0</v>
      </c>
    </row>
    <row r="140" spans="1:12" ht="15">
      <c r="A140" s="136" t="s">
        <v>2173</v>
      </c>
      <c r="B140" s="67" t="s">
        <v>2187</v>
      </c>
      <c r="C140" s="67">
        <v>2</v>
      </c>
      <c r="D140" s="139">
        <v>0.003339787015918944</v>
      </c>
      <c r="E140" s="139">
        <v>2.66228551572213</v>
      </c>
      <c r="F140" s="67" t="s">
        <v>2234</v>
      </c>
      <c r="G140" s="67" t="b">
        <v>0</v>
      </c>
      <c r="H140" s="67" t="b">
        <v>0</v>
      </c>
      <c r="I140" s="67" t="b">
        <v>0</v>
      </c>
      <c r="J140" s="67" t="b">
        <v>0</v>
      </c>
      <c r="K140" s="67" t="b">
        <v>0</v>
      </c>
      <c r="L140" s="67" t="b">
        <v>0</v>
      </c>
    </row>
    <row r="141" spans="1:12" ht="15">
      <c r="A141" s="136" t="s">
        <v>2147</v>
      </c>
      <c r="B141" s="67" t="s">
        <v>2155</v>
      </c>
      <c r="C141" s="67">
        <v>2</v>
      </c>
      <c r="D141" s="139">
        <v>0.003339787015918944</v>
      </c>
      <c r="E141" s="139">
        <v>2.66228551572213</v>
      </c>
      <c r="F141" s="67" t="s">
        <v>2234</v>
      </c>
      <c r="G141" s="67" t="b">
        <v>0</v>
      </c>
      <c r="H141" s="67" t="b">
        <v>0</v>
      </c>
      <c r="I141" s="67" t="b">
        <v>0</v>
      </c>
      <c r="J141" s="67" t="b">
        <v>0</v>
      </c>
      <c r="K141" s="67" t="b">
        <v>0</v>
      </c>
      <c r="L141" s="67" t="b">
        <v>0</v>
      </c>
    </row>
    <row r="142" spans="1:12" ht="15">
      <c r="A142" s="136" t="s">
        <v>2191</v>
      </c>
      <c r="B142" s="67" t="s">
        <v>2137</v>
      </c>
      <c r="C142" s="67">
        <v>2</v>
      </c>
      <c r="D142" s="139">
        <v>0.003339787015918944</v>
      </c>
      <c r="E142" s="139">
        <v>2.66228551572213</v>
      </c>
      <c r="F142" s="67" t="s">
        <v>2234</v>
      </c>
      <c r="G142" s="67" t="b">
        <v>0</v>
      </c>
      <c r="H142" s="67" t="b">
        <v>0</v>
      </c>
      <c r="I142" s="67" t="b">
        <v>0</v>
      </c>
      <c r="J142" s="67" t="b">
        <v>0</v>
      </c>
      <c r="K142" s="67" t="b">
        <v>0</v>
      </c>
      <c r="L142" s="67" t="b">
        <v>0</v>
      </c>
    </row>
    <row r="143" spans="1:12" ht="15">
      <c r="A143" s="136" t="s">
        <v>2134</v>
      </c>
      <c r="B143" s="67" t="s">
        <v>2075</v>
      </c>
      <c r="C143" s="67">
        <v>2</v>
      </c>
      <c r="D143" s="139">
        <v>0.003339787015918944</v>
      </c>
      <c r="E143" s="139">
        <v>2.66228551572213</v>
      </c>
      <c r="F143" s="67" t="s">
        <v>2234</v>
      </c>
      <c r="G143" s="67" t="b">
        <v>0</v>
      </c>
      <c r="H143" s="67" t="b">
        <v>0</v>
      </c>
      <c r="I143" s="67" t="b">
        <v>0</v>
      </c>
      <c r="J143" s="67" t="b">
        <v>0</v>
      </c>
      <c r="K143" s="67" t="b">
        <v>0</v>
      </c>
      <c r="L143" s="67" t="b">
        <v>0</v>
      </c>
    </row>
    <row r="144" spans="1:12" ht="15">
      <c r="A144" s="136" t="s">
        <v>2221</v>
      </c>
      <c r="B144" s="67" t="s">
        <v>2198</v>
      </c>
      <c r="C144" s="67">
        <v>2</v>
      </c>
      <c r="D144" s="139">
        <v>0.003339787015918944</v>
      </c>
      <c r="E144" s="139">
        <v>2.66228551572213</v>
      </c>
      <c r="F144" s="67" t="s">
        <v>2234</v>
      </c>
      <c r="G144" s="67" t="b">
        <v>0</v>
      </c>
      <c r="H144" s="67" t="b">
        <v>0</v>
      </c>
      <c r="I144" s="67" t="b">
        <v>0</v>
      </c>
      <c r="J144" s="67" t="b">
        <v>0</v>
      </c>
      <c r="K144" s="67" t="b">
        <v>0</v>
      </c>
      <c r="L144" s="67" t="b">
        <v>0</v>
      </c>
    </row>
    <row r="145" spans="1:12" ht="15">
      <c r="A145" s="136" t="s">
        <v>1824</v>
      </c>
      <c r="B145" s="67" t="s">
        <v>913</v>
      </c>
      <c r="C145" s="67">
        <v>2</v>
      </c>
      <c r="D145" s="139">
        <v>0.003339787015918944</v>
      </c>
      <c r="E145" s="139">
        <v>2.66228551572213</v>
      </c>
      <c r="F145" s="67" t="s">
        <v>2234</v>
      </c>
      <c r="G145" s="67" t="b">
        <v>0</v>
      </c>
      <c r="H145" s="67" t="b">
        <v>0</v>
      </c>
      <c r="I145" s="67" t="b">
        <v>0</v>
      </c>
      <c r="J145" s="67" t="b">
        <v>0</v>
      </c>
      <c r="K145" s="67" t="b">
        <v>0</v>
      </c>
      <c r="L145" s="67" t="b">
        <v>0</v>
      </c>
    </row>
    <row r="146" spans="1:12" ht="15">
      <c r="A146" s="136" t="s">
        <v>2091</v>
      </c>
      <c r="B146" s="67" t="s">
        <v>1842</v>
      </c>
      <c r="C146" s="67">
        <v>2</v>
      </c>
      <c r="D146" s="139">
        <v>0.003339787015918944</v>
      </c>
      <c r="E146" s="139">
        <v>2.66228551572213</v>
      </c>
      <c r="F146" s="67" t="s">
        <v>2234</v>
      </c>
      <c r="G146" s="67" t="b">
        <v>0</v>
      </c>
      <c r="H146" s="67" t="b">
        <v>0</v>
      </c>
      <c r="I146" s="67" t="b">
        <v>0</v>
      </c>
      <c r="J146" s="67" t="b">
        <v>0</v>
      </c>
      <c r="K146" s="67" t="b">
        <v>0</v>
      </c>
      <c r="L146" s="67" t="b">
        <v>0</v>
      </c>
    </row>
    <row r="147" spans="1:12" ht="15">
      <c r="A147" s="136" t="s">
        <v>2215</v>
      </c>
      <c r="B147" s="67" t="s">
        <v>2233</v>
      </c>
      <c r="C147" s="67">
        <v>2</v>
      </c>
      <c r="D147" s="139">
        <v>0.003339787015918944</v>
      </c>
      <c r="E147" s="139">
        <v>2.66228551572213</v>
      </c>
      <c r="F147" s="67" t="s">
        <v>2234</v>
      </c>
      <c r="G147" s="67" t="b">
        <v>0</v>
      </c>
      <c r="H147" s="67" t="b">
        <v>0</v>
      </c>
      <c r="I147" s="67" t="b">
        <v>0</v>
      </c>
      <c r="J147" s="67" t="b">
        <v>0</v>
      </c>
      <c r="K147" s="67" t="b">
        <v>0</v>
      </c>
      <c r="L147" s="67" t="b">
        <v>0</v>
      </c>
    </row>
    <row r="148" spans="1:12" ht="15">
      <c r="A148" s="136" t="s">
        <v>2057</v>
      </c>
      <c r="B148" s="67" t="s">
        <v>2168</v>
      </c>
      <c r="C148" s="67">
        <v>2</v>
      </c>
      <c r="D148" s="139">
        <v>0.003339787015918944</v>
      </c>
      <c r="E148" s="139">
        <v>2.4861942566664488</v>
      </c>
      <c r="F148" s="67" t="s">
        <v>2234</v>
      </c>
      <c r="G148" s="67" t="b">
        <v>0</v>
      </c>
      <c r="H148" s="67" t="b">
        <v>0</v>
      </c>
      <c r="I148" s="67" t="b">
        <v>0</v>
      </c>
      <c r="J148" s="67" t="b">
        <v>0</v>
      </c>
      <c r="K148" s="67" t="b">
        <v>0</v>
      </c>
      <c r="L148" s="67" t="b">
        <v>0</v>
      </c>
    </row>
    <row r="149" spans="1:12" ht="15">
      <c r="A149" s="136" t="s">
        <v>2121</v>
      </c>
      <c r="B149" s="67" t="s">
        <v>2169</v>
      </c>
      <c r="C149" s="67">
        <v>2</v>
      </c>
      <c r="D149" s="139">
        <v>0.003339787015918944</v>
      </c>
      <c r="E149" s="139">
        <v>2.66228551572213</v>
      </c>
      <c r="F149" s="67" t="s">
        <v>2234</v>
      </c>
      <c r="G149" s="67" t="b">
        <v>0</v>
      </c>
      <c r="H149" s="67" t="b">
        <v>0</v>
      </c>
      <c r="I149" s="67" t="b">
        <v>0</v>
      </c>
      <c r="J149" s="67" t="b">
        <v>0</v>
      </c>
      <c r="K149" s="67" t="b">
        <v>0</v>
      </c>
      <c r="L149" s="67" t="b">
        <v>0</v>
      </c>
    </row>
    <row r="150" spans="1:12" ht="15">
      <c r="A150" s="136" t="s">
        <v>2227</v>
      </c>
      <c r="B150" s="67" t="s">
        <v>1845</v>
      </c>
      <c r="C150" s="67">
        <v>2</v>
      </c>
      <c r="D150" s="139">
        <v>0.003339787015918944</v>
      </c>
      <c r="E150" s="139">
        <v>2.66228551572213</v>
      </c>
      <c r="F150" s="67" t="s">
        <v>2234</v>
      </c>
      <c r="G150" s="67" t="b">
        <v>0</v>
      </c>
      <c r="H150" s="67" t="b">
        <v>0</v>
      </c>
      <c r="I150" s="67" t="b">
        <v>0</v>
      </c>
      <c r="J150" s="67" t="b">
        <v>0</v>
      </c>
      <c r="K150" s="67" t="b">
        <v>0</v>
      </c>
      <c r="L150" s="67" t="b">
        <v>0</v>
      </c>
    </row>
    <row r="151" spans="1:12" ht="15">
      <c r="A151" s="136" t="s">
        <v>1823</v>
      </c>
      <c r="B151" s="67" t="s">
        <v>2180</v>
      </c>
      <c r="C151" s="67">
        <v>2</v>
      </c>
      <c r="D151" s="139">
        <v>0.003339787015918944</v>
      </c>
      <c r="E151" s="139">
        <v>2.66228551572213</v>
      </c>
      <c r="F151" s="67" t="s">
        <v>2234</v>
      </c>
      <c r="G151" s="67" t="b">
        <v>0</v>
      </c>
      <c r="H151" s="67" t="b">
        <v>0</v>
      </c>
      <c r="I151" s="67" t="b">
        <v>0</v>
      </c>
      <c r="J151" s="67" t="b">
        <v>0</v>
      </c>
      <c r="K151" s="67" t="b">
        <v>0</v>
      </c>
      <c r="L151" s="67" t="b">
        <v>0</v>
      </c>
    </row>
    <row r="152" spans="1:12" ht="15">
      <c r="A152" s="136" t="s">
        <v>2165</v>
      </c>
      <c r="B152" s="67" t="s">
        <v>2088</v>
      </c>
      <c r="C152" s="67">
        <v>2</v>
      </c>
      <c r="D152" s="139">
        <v>0.003339787015918944</v>
      </c>
      <c r="E152" s="139">
        <v>2.66228551572213</v>
      </c>
      <c r="F152" s="67" t="s">
        <v>2234</v>
      </c>
      <c r="G152" s="67" t="b">
        <v>0</v>
      </c>
      <c r="H152" s="67" t="b">
        <v>0</v>
      </c>
      <c r="I152" s="67" t="b">
        <v>0</v>
      </c>
      <c r="J152" s="67" t="b">
        <v>0</v>
      </c>
      <c r="K152" s="67" t="b">
        <v>0</v>
      </c>
      <c r="L152" s="67" t="b">
        <v>0</v>
      </c>
    </row>
    <row r="153" spans="1:12" ht="15">
      <c r="A153" s="136" t="s">
        <v>2210</v>
      </c>
      <c r="B153" s="67" t="s">
        <v>1820</v>
      </c>
      <c r="C153" s="67">
        <v>2</v>
      </c>
      <c r="D153" s="139">
        <v>0.003339787015918944</v>
      </c>
      <c r="E153" s="139">
        <v>2.66228551572213</v>
      </c>
      <c r="F153" s="67" t="s">
        <v>2234</v>
      </c>
      <c r="G153" s="67" t="b">
        <v>0</v>
      </c>
      <c r="H153" s="67" t="b">
        <v>0</v>
      </c>
      <c r="I153" s="67" t="b">
        <v>0</v>
      </c>
      <c r="J153" s="67" t="b">
        <v>0</v>
      </c>
      <c r="K153" s="67" t="b">
        <v>0</v>
      </c>
      <c r="L153" s="67" t="b">
        <v>0</v>
      </c>
    </row>
    <row r="154" spans="1:12" ht="15">
      <c r="A154" s="136" t="s">
        <v>2193</v>
      </c>
      <c r="B154" s="67" t="s">
        <v>2200</v>
      </c>
      <c r="C154" s="67">
        <v>2</v>
      </c>
      <c r="D154" s="139">
        <v>0.003339787015918944</v>
      </c>
      <c r="E154" s="139">
        <v>2.66228551572213</v>
      </c>
      <c r="F154" s="67" t="s">
        <v>2234</v>
      </c>
      <c r="G154" s="67" t="b">
        <v>0</v>
      </c>
      <c r="H154" s="67" t="b">
        <v>0</v>
      </c>
      <c r="I154" s="67" t="b">
        <v>0</v>
      </c>
      <c r="J154" s="67" t="b">
        <v>0</v>
      </c>
      <c r="K154" s="67" t="b">
        <v>0</v>
      </c>
      <c r="L154" s="67" t="b">
        <v>0</v>
      </c>
    </row>
    <row r="155" spans="1:12" ht="15">
      <c r="A155" s="136" t="s">
        <v>1816</v>
      </c>
      <c r="B155" s="67" t="s">
        <v>2119</v>
      </c>
      <c r="C155" s="67">
        <v>2</v>
      </c>
      <c r="D155" s="139">
        <v>0.003339787015918944</v>
      </c>
      <c r="E155" s="139">
        <v>2.4861942566664488</v>
      </c>
      <c r="F155" s="67" t="s">
        <v>2234</v>
      </c>
      <c r="G155" s="67" t="b">
        <v>0</v>
      </c>
      <c r="H155" s="67" t="b">
        <v>0</v>
      </c>
      <c r="I155" s="67" t="b">
        <v>0</v>
      </c>
      <c r="J155" s="67" t="b">
        <v>0</v>
      </c>
      <c r="K155" s="67" t="b">
        <v>0</v>
      </c>
      <c r="L155" s="67" t="b">
        <v>0</v>
      </c>
    </row>
    <row r="156" spans="1:12" ht="15">
      <c r="A156" s="136" t="s">
        <v>2149</v>
      </c>
      <c r="B156" s="67" t="s">
        <v>2086</v>
      </c>
      <c r="C156" s="67">
        <v>2</v>
      </c>
      <c r="D156" s="139">
        <v>0.003339787015918944</v>
      </c>
      <c r="E156" s="139">
        <v>2.66228551572213</v>
      </c>
      <c r="F156" s="67" t="s">
        <v>2234</v>
      </c>
      <c r="G156" s="67" t="b">
        <v>0</v>
      </c>
      <c r="H156" s="67" t="b">
        <v>0</v>
      </c>
      <c r="I156" s="67" t="b">
        <v>0</v>
      </c>
      <c r="J156" s="67" t="b">
        <v>0</v>
      </c>
      <c r="K156" s="67" t="b">
        <v>0</v>
      </c>
      <c r="L156" s="67" t="b">
        <v>0</v>
      </c>
    </row>
    <row r="157" spans="1:12" ht="15">
      <c r="A157" s="136" t="s">
        <v>2099</v>
      </c>
      <c r="B157" s="67" t="s">
        <v>2127</v>
      </c>
      <c r="C157" s="67">
        <v>2</v>
      </c>
      <c r="D157" s="139">
        <v>0.003339787015918944</v>
      </c>
      <c r="E157" s="139">
        <v>2.66228551572213</v>
      </c>
      <c r="F157" s="67" t="s">
        <v>2234</v>
      </c>
      <c r="G157" s="67" t="b">
        <v>0</v>
      </c>
      <c r="H157" s="67" t="b">
        <v>0</v>
      </c>
      <c r="I157" s="67" t="b">
        <v>0</v>
      </c>
      <c r="J157" s="67" t="b">
        <v>0</v>
      </c>
      <c r="K157" s="67" t="b">
        <v>0</v>
      </c>
      <c r="L157" s="67" t="b">
        <v>0</v>
      </c>
    </row>
    <row r="158" spans="1:12" ht="15">
      <c r="A158" s="136" t="s">
        <v>2062</v>
      </c>
      <c r="B158" s="67" t="s">
        <v>2199</v>
      </c>
      <c r="C158" s="67">
        <v>2</v>
      </c>
      <c r="D158" s="139">
        <v>0.003339787015918944</v>
      </c>
      <c r="E158" s="139">
        <v>2.4861942566664488</v>
      </c>
      <c r="F158" s="67" t="s">
        <v>2234</v>
      </c>
      <c r="G158" s="67" t="b">
        <v>0</v>
      </c>
      <c r="H158" s="67" t="b">
        <v>0</v>
      </c>
      <c r="I158" s="67" t="b">
        <v>0</v>
      </c>
      <c r="J158" s="67" t="b">
        <v>0</v>
      </c>
      <c r="K158" s="67" t="b">
        <v>0</v>
      </c>
      <c r="L158" s="67" t="b">
        <v>0</v>
      </c>
    </row>
    <row r="159" spans="1:12" ht="15">
      <c r="A159" s="136" t="s">
        <v>2132</v>
      </c>
      <c r="B159" s="67" t="s">
        <v>2069</v>
      </c>
      <c r="C159" s="67">
        <v>2</v>
      </c>
      <c r="D159" s="139">
        <v>0.003339787015918944</v>
      </c>
      <c r="E159" s="139">
        <v>2.66228551572213</v>
      </c>
      <c r="F159" s="67" t="s">
        <v>2234</v>
      </c>
      <c r="G159" s="67" t="b">
        <v>0</v>
      </c>
      <c r="H159" s="67" t="b">
        <v>0</v>
      </c>
      <c r="I159" s="67" t="b">
        <v>0</v>
      </c>
      <c r="J159" s="67" t="b">
        <v>0</v>
      </c>
      <c r="K159" s="67" t="b">
        <v>0</v>
      </c>
      <c r="L159" s="67" t="b">
        <v>0</v>
      </c>
    </row>
    <row r="160" spans="1:12" ht="15">
      <c r="A160" s="136" t="s">
        <v>2228</v>
      </c>
      <c r="B160" s="67" t="s">
        <v>2192</v>
      </c>
      <c r="C160" s="67">
        <v>2</v>
      </c>
      <c r="D160" s="139">
        <v>0.003339787015918944</v>
      </c>
      <c r="E160" s="139">
        <v>2.66228551572213</v>
      </c>
      <c r="F160" s="67" t="s">
        <v>2234</v>
      </c>
      <c r="G160" s="67" t="b">
        <v>0</v>
      </c>
      <c r="H160" s="67" t="b">
        <v>0</v>
      </c>
      <c r="I160" s="67" t="b">
        <v>0</v>
      </c>
      <c r="J160" s="67" t="b">
        <v>0</v>
      </c>
      <c r="K160" s="67" t="b">
        <v>0</v>
      </c>
      <c r="L160" s="67" t="b">
        <v>0</v>
      </c>
    </row>
    <row r="161" spans="1:12" ht="15">
      <c r="A161" s="136" t="s">
        <v>2066</v>
      </c>
      <c r="B161" s="67" t="s">
        <v>2217</v>
      </c>
      <c r="C161" s="67">
        <v>2</v>
      </c>
      <c r="D161" s="139">
        <v>0.003339787015918944</v>
      </c>
      <c r="E161" s="139">
        <v>2.4861942566664488</v>
      </c>
      <c r="F161" s="67" t="s">
        <v>2234</v>
      </c>
      <c r="G161" s="67" t="b">
        <v>0</v>
      </c>
      <c r="H161" s="67" t="b">
        <v>0</v>
      </c>
      <c r="I161" s="67" t="b">
        <v>0</v>
      </c>
      <c r="J161" s="67" t="b">
        <v>0</v>
      </c>
      <c r="K161" s="67" t="b">
        <v>0</v>
      </c>
      <c r="L161" s="67" t="b">
        <v>0</v>
      </c>
    </row>
    <row r="162" spans="1:12" ht="15">
      <c r="A162" s="136" t="s">
        <v>2172</v>
      </c>
      <c r="B162" s="67" t="s">
        <v>2131</v>
      </c>
      <c r="C162" s="67">
        <v>2</v>
      </c>
      <c r="D162" s="139">
        <v>0.003339787015918944</v>
      </c>
      <c r="E162" s="139">
        <v>2.66228551572213</v>
      </c>
      <c r="F162" s="67" t="s">
        <v>2234</v>
      </c>
      <c r="G162" s="67" t="b">
        <v>0</v>
      </c>
      <c r="H162" s="67" t="b">
        <v>0</v>
      </c>
      <c r="I162" s="67" t="b">
        <v>0</v>
      </c>
      <c r="J162" s="67" t="b">
        <v>0</v>
      </c>
      <c r="K162" s="67" t="b">
        <v>0</v>
      </c>
      <c r="L162" s="67" t="b">
        <v>0</v>
      </c>
    </row>
    <row r="163" spans="1:12" ht="15">
      <c r="A163" s="136" t="s">
        <v>2105</v>
      </c>
      <c r="B163" s="67" t="s">
        <v>2167</v>
      </c>
      <c r="C163" s="67">
        <v>2</v>
      </c>
      <c r="D163" s="139">
        <v>0.003339787015918944</v>
      </c>
      <c r="E163" s="139">
        <v>2.66228551572213</v>
      </c>
      <c r="F163" s="67" t="s">
        <v>2234</v>
      </c>
      <c r="G163" s="67" t="b">
        <v>0</v>
      </c>
      <c r="H163" s="67" t="b">
        <v>0</v>
      </c>
      <c r="I163" s="67" t="b">
        <v>0</v>
      </c>
      <c r="J163" s="67" t="b">
        <v>0</v>
      </c>
      <c r="K163" s="67" t="b">
        <v>0</v>
      </c>
      <c r="L163" s="67" t="b">
        <v>0</v>
      </c>
    </row>
    <row r="164" spans="1:12" ht="15">
      <c r="A164" s="136" t="s">
        <v>2218</v>
      </c>
      <c r="B164" s="67" t="s">
        <v>2114</v>
      </c>
      <c r="C164" s="67">
        <v>2</v>
      </c>
      <c r="D164" s="139">
        <v>0.003339787015918944</v>
      </c>
      <c r="E164" s="139">
        <v>2.66228551572213</v>
      </c>
      <c r="F164" s="67" t="s">
        <v>2234</v>
      </c>
      <c r="G164" s="67" t="b">
        <v>0</v>
      </c>
      <c r="H164" s="67" t="b">
        <v>0</v>
      </c>
      <c r="I164" s="67" t="b">
        <v>0</v>
      </c>
      <c r="J164" s="67" t="b">
        <v>0</v>
      </c>
      <c r="K164" s="67" t="b">
        <v>0</v>
      </c>
      <c r="L164" s="67" t="b">
        <v>0</v>
      </c>
    </row>
    <row r="165" spans="1:12" ht="15">
      <c r="A165" s="136" t="s">
        <v>2201</v>
      </c>
      <c r="B165" s="67" t="s">
        <v>2195</v>
      </c>
      <c r="C165" s="67">
        <v>2</v>
      </c>
      <c r="D165" s="139">
        <v>0.003339787015918944</v>
      </c>
      <c r="E165" s="139">
        <v>2.66228551572213</v>
      </c>
      <c r="F165" s="67" t="s">
        <v>2234</v>
      </c>
      <c r="G165" s="67" t="b">
        <v>0</v>
      </c>
      <c r="H165" s="67" t="b">
        <v>0</v>
      </c>
      <c r="I165" s="67" t="b">
        <v>0</v>
      </c>
      <c r="J165" s="67" t="b">
        <v>0</v>
      </c>
      <c r="K165" s="67" t="b">
        <v>0</v>
      </c>
      <c r="L165" s="67" t="b">
        <v>0</v>
      </c>
    </row>
    <row r="166" spans="1:12" ht="15">
      <c r="A166" s="136" t="s">
        <v>2096</v>
      </c>
      <c r="B166" s="67" t="s">
        <v>1803</v>
      </c>
      <c r="C166" s="67">
        <v>2</v>
      </c>
      <c r="D166" s="139">
        <v>0.003339787015918944</v>
      </c>
      <c r="E166" s="139">
        <v>2.0602255243941676</v>
      </c>
      <c r="F166" s="67" t="s">
        <v>2234</v>
      </c>
      <c r="G166" s="67" t="b">
        <v>0</v>
      </c>
      <c r="H166" s="67" t="b">
        <v>0</v>
      </c>
      <c r="I166" s="67" t="b">
        <v>0</v>
      </c>
      <c r="J166" s="67" t="b">
        <v>0</v>
      </c>
      <c r="K166" s="67" t="b">
        <v>0</v>
      </c>
      <c r="L166" s="67" t="b">
        <v>0</v>
      </c>
    </row>
    <row r="167" spans="1:12" ht="15">
      <c r="A167" s="136" t="s">
        <v>308</v>
      </c>
      <c r="B167" s="67" t="s">
        <v>2091</v>
      </c>
      <c r="C167" s="67">
        <v>2</v>
      </c>
      <c r="D167" s="139">
        <v>0.003339787015918944</v>
      </c>
      <c r="E167" s="139">
        <v>2.66228551572213</v>
      </c>
      <c r="F167" s="67" t="s">
        <v>2234</v>
      </c>
      <c r="G167" s="67" t="b">
        <v>0</v>
      </c>
      <c r="H167" s="67" t="b">
        <v>0</v>
      </c>
      <c r="I167" s="67" t="b">
        <v>0</v>
      </c>
      <c r="J167" s="67" t="b">
        <v>0</v>
      </c>
      <c r="K167" s="67" t="b">
        <v>0</v>
      </c>
      <c r="L167" s="67" t="b">
        <v>0</v>
      </c>
    </row>
    <row r="168" spans="1:12" ht="15">
      <c r="A168" s="136" t="s">
        <v>2181</v>
      </c>
      <c r="B168" s="67" t="s">
        <v>2228</v>
      </c>
      <c r="C168" s="67">
        <v>2</v>
      </c>
      <c r="D168" s="139">
        <v>0.003339787015918944</v>
      </c>
      <c r="E168" s="139">
        <v>2.66228551572213</v>
      </c>
      <c r="F168" s="67" t="s">
        <v>2234</v>
      </c>
      <c r="G168" s="67" t="b">
        <v>0</v>
      </c>
      <c r="H168" s="67" t="b">
        <v>0</v>
      </c>
      <c r="I168" s="67" t="b">
        <v>0</v>
      </c>
      <c r="J168" s="67" t="b">
        <v>0</v>
      </c>
      <c r="K168" s="67" t="b">
        <v>0</v>
      </c>
      <c r="L168" s="67" t="b">
        <v>0</v>
      </c>
    </row>
    <row r="169" spans="1:12" ht="15">
      <c r="A169" s="136" t="s">
        <v>2190</v>
      </c>
      <c r="B169" s="67" t="s">
        <v>2185</v>
      </c>
      <c r="C169" s="67">
        <v>2</v>
      </c>
      <c r="D169" s="139">
        <v>0.003339787015918944</v>
      </c>
      <c r="E169" s="139">
        <v>2.66228551572213</v>
      </c>
      <c r="F169" s="67" t="s">
        <v>2234</v>
      </c>
      <c r="G169" s="67" t="b">
        <v>0</v>
      </c>
      <c r="H169" s="67" t="b">
        <v>0</v>
      </c>
      <c r="I169" s="67" t="b">
        <v>0</v>
      </c>
      <c r="J169" s="67" t="b">
        <v>0</v>
      </c>
      <c r="K169" s="67" t="b">
        <v>0</v>
      </c>
      <c r="L169" s="67" t="b">
        <v>0</v>
      </c>
    </row>
    <row r="170" spans="1:12" ht="15">
      <c r="A170" s="136" t="s">
        <v>1806</v>
      </c>
      <c r="B170" s="67" t="s">
        <v>2153</v>
      </c>
      <c r="C170" s="67">
        <v>2</v>
      </c>
      <c r="D170" s="139">
        <v>0.003339787015918944</v>
      </c>
      <c r="E170" s="139">
        <v>2.1851642610024675</v>
      </c>
      <c r="F170" s="67" t="s">
        <v>2234</v>
      </c>
      <c r="G170" s="67" t="b">
        <v>0</v>
      </c>
      <c r="H170" s="67" t="b">
        <v>0</v>
      </c>
      <c r="I170" s="67" t="b">
        <v>0</v>
      </c>
      <c r="J170" s="67" t="b">
        <v>0</v>
      </c>
      <c r="K170" s="67" t="b">
        <v>0</v>
      </c>
      <c r="L170" s="67" t="b">
        <v>0</v>
      </c>
    </row>
    <row r="171" spans="1:12" ht="15">
      <c r="A171" s="136" t="s">
        <v>2195</v>
      </c>
      <c r="B171" s="67" t="s">
        <v>2071</v>
      </c>
      <c r="C171" s="67">
        <v>2</v>
      </c>
      <c r="D171" s="139">
        <v>0.003339787015918944</v>
      </c>
      <c r="E171" s="139">
        <v>2.66228551572213</v>
      </c>
      <c r="F171" s="67" t="s">
        <v>2234</v>
      </c>
      <c r="G171" s="67" t="b">
        <v>0</v>
      </c>
      <c r="H171" s="67" t="b">
        <v>0</v>
      </c>
      <c r="I171" s="67" t="b">
        <v>0</v>
      </c>
      <c r="J171" s="67" t="b">
        <v>0</v>
      </c>
      <c r="K171" s="67" t="b">
        <v>0</v>
      </c>
      <c r="L171" s="67" t="b">
        <v>0</v>
      </c>
    </row>
    <row r="172" spans="1:12" ht="15">
      <c r="A172" s="136" t="s">
        <v>2093</v>
      </c>
      <c r="B172" s="67" t="s">
        <v>2225</v>
      </c>
      <c r="C172" s="67">
        <v>2</v>
      </c>
      <c r="D172" s="139">
        <v>0.003339787015918944</v>
      </c>
      <c r="E172" s="139">
        <v>2.66228551572213</v>
      </c>
      <c r="F172" s="67" t="s">
        <v>2234</v>
      </c>
      <c r="G172" s="67" t="b">
        <v>0</v>
      </c>
      <c r="H172" s="67" t="b">
        <v>0</v>
      </c>
      <c r="I172" s="67" t="b">
        <v>0</v>
      </c>
      <c r="J172" s="67" t="b">
        <v>0</v>
      </c>
      <c r="K172" s="67" t="b">
        <v>0</v>
      </c>
      <c r="L172" s="67" t="b">
        <v>0</v>
      </c>
    </row>
    <row r="173" spans="1:12" ht="15">
      <c r="A173" s="136" t="s">
        <v>2107</v>
      </c>
      <c r="B173" s="67" t="s">
        <v>2226</v>
      </c>
      <c r="C173" s="67">
        <v>2</v>
      </c>
      <c r="D173" s="139">
        <v>0.003339787015918944</v>
      </c>
      <c r="E173" s="139">
        <v>2.66228551572213</v>
      </c>
      <c r="F173" s="67" t="s">
        <v>2234</v>
      </c>
      <c r="G173" s="67" t="b">
        <v>0</v>
      </c>
      <c r="H173" s="67" t="b">
        <v>0</v>
      </c>
      <c r="I173" s="67" t="b">
        <v>0</v>
      </c>
      <c r="J173" s="67" t="b">
        <v>0</v>
      </c>
      <c r="K173" s="67" t="b">
        <v>0</v>
      </c>
      <c r="L173" s="67" t="b">
        <v>0</v>
      </c>
    </row>
    <row r="174" spans="1:12" ht="15">
      <c r="A174" s="136" t="s">
        <v>2145</v>
      </c>
      <c r="B174" s="67" t="s">
        <v>1837</v>
      </c>
      <c r="C174" s="67">
        <v>2</v>
      </c>
      <c r="D174" s="139">
        <v>0.003339787015918944</v>
      </c>
      <c r="E174" s="139">
        <v>2.66228551572213</v>
      </c>
      <c r="F174" s="67" t="s">
        <v>2234</v>
      </c>
      <c r="G174" s="67" t="b">
        <v>0</v>
      </c>
      <c r="H174" s="67" t="b">
        <v>0</v>
      </c>
      <c r="I174" s="67" t="b">
        <v>0</v>
      </c>
      <c r="J174" s="67" t="b">
        <v>0</v>
      </c>
      <c r="K174" s="67" t="b">
        <v>0</v>
      </c>
      <c r="L174" s="67" t="b">
        <v>0</v>
      </c>
    </row>
    <row r="175" spans="1:12" ht="15">
      <c r="A175" s="136" t="s">
        <v>2064</v>
      </c>
      <c r="B175" s="67" t="s">
        <v>2149</v>
      </c>
      <c r="C175" s="67">
        <v>2</v>
      </c>
      <c r="D175" s="139">
        <v>0.003339787015918944</v>
      </c>
      <c r="E175" s="139">
        <v>2.4861942566664488</v>
      </c>
      <c r="F175" s="67" t="s">
        <v>2234</v>
      </c>
      <c r="G175" s="67" t="b">
        <v>0</v>
      </c>
      <c r="H175" s="67" t="b">
        <v>0</v>
      </c>
      <c r="I175" s="67" t="b">
        <v>0</v>
      </c>
      <c r="J175" s="67" t="b">
        <v>0</v>
      </c>
      <c r="K175" s="67" t="b">
        <v>0</v>
      </c>
      <c r="L175" s="67" t="b">
        <v>0</v>
      </c>
    </row>
    <row r="176" spans="1:12" ht="15">
      <c r="A176" s="136" t="s">
        <v>1831</v>
      </c>
      <c r="B176" s="67" t="s">
        <v>2231</v>
      </c>
      <c r="C176" s="67">
        <v>2</v>
      </c>
      <c r="D176" s="139">
        <v>0.003339787015918944</v>
      </c>
      <c r="E176" s="139">
        <v>2.66228551572213</v>
      </c>
      <c r="F176" s="67" t="s">
        <v>2234</v>
      </c>
      <c r="G176" s="67" t="b">
        <v>0</v>
      </c>
      <c r="H176" s="67" t="b">
        <v>0</v>
      </c>
      <c r="I176" s="67" t="b">
        <v>0</v>
      </c>
      <c r="J176" s="67" t="b">
        <v>0</v>
      </c>
      <c r="K176" s="67" t="b">
        <v>0</v>
      </c>
      <c r="L176" s="67" t="b">
        <v>0</v>
      </c>
    </row>
    <row r="177" spans="1:12" ht="15">
      <c r="A177" s="136" t="s">
        <v>2206</v>
      </c>
      <c r="B177" s="67" t="s">
        <v>2121</v>
      </c>
      <c r="C177" s="67">
        <v>2</v>
      </c>
      <c r="D177" s="139">
        <v>0.003339787015918944</v>
      </c>
      <c r="E177" s="139">
        <v>2.66228551572213</v>
      </c>
      <c r="F177" s="67" t="s">
        <v>2234</v>
      </c>
      <c r="G177" s="67" t="b">
        <v>0</v>
      </c>
      <c r="H177" s="67" t="b">
        <v>0</v>
      </c>
      <c r="I177" s="67" t="b">
        <v>0</v>
      </c>
      <c r="J177" s="67" t="b">
        <v>0</v>
      </c>
      <c r="K177" s="67" t="b">
        <v>0</v>
      </c>
      <c r="L177" s="67" t="b">
        <v>0</v>
      </c>
    </row>
    <row r="178" spans="1:12" ht="15">
      <c r="A178" s="136" t="s">
        <v>2198</v>
      </c>
      <c r="B178" s="67" t="s">
        <v>2224</v>
      </c>
      <c r="C178" s="67">
        <v>2</v>
      </c>
      <c r="D178" s="139">
        <v>0.003339787015918944</v>
      </c>
      <c r="E178" s="139">
        <v>2.66228551572213</v>
      </c>
      <c r="F178" s="67" t="s">
        <v>2234</v>
      </c>
      <c r="G178" s="67" t="b">
        <v>0</v>
      </c>
      <c r="H178" s="67" t="b">
        <v>0</v>
      </c>
      <c r="I178" s="67" t="b">
        <v>0</v>
      </c>
      <c r="J178" s="67" t="b">
        <v>0</v>
      </c>
      <c r="K178" s="67" t="b">
        <v>0</v>
      </c>
      <c r="L178" s="67" t="b">
        <v>0</v>
      </c>
    </row>
    <row r="179" spans="1:12" ht="15">
      <c r="A179" s="136" t="s">
        <v>2128</v>
      </c>
      <c r="B179" s="67" t="s">
        <v>1823</v>
      </c>
      <c r="C179" s="67">
        <v>2</v>
      </c>
      <c r="D179" s="139">
        <v>0.003339787015918944</v>
      </c>
      <c r="E179" s="139">
        <v>2.66228551572213</v>
      </c>
      <c r="F179" s="67" t="s">
        <v>2234</v>
      </c>
      <c r="G179" s="67" t="b">
        <v>0</v>
      </c>
      <c r="H179" s="67" t="b">
        <v>0</v>
      </c>
      <c r="I179" s="67" t="b">
        <v>0</v>
      </c>
      <c r="J179" s="67" t="b">
        <v>0</v>
      </c>
      <c r="K179" s="67" t="b">
        <v>0</v>
      </c>
      <c r="L179" s="67" t="b">
        <v>0</v>
      </c>
    </row>
    <row r="180" spans="1:12" ht="15">
      <c r="A180" s="136" t="s">
        <v>1809</v>
      </c>
      <c r="B180" s="67" t="s">
        <v>2184</v>
      </c>
      <c r="C180" s="67">
        <v>2</v>
      </c>
      <c r="D180" s="139">
        <v>0.003339787015918944</v>
      </c>
      <c r="E180" s="139">
        <v>2.361255520058149</v>
      </c>
      <c r="F180" s="67" t="s">
        <v>2234</v>
      </c>
      <c r="G180" s="67" t="b">
        <v>0</v>
      </c>
      <c r="H180" s="67" t="b">
        <v>0</v>
      </c>
      <c r="I180" s="67" t="b">
        <v>0</v>
      </c>
      <c r="J180" s="67" t="b">
        <v>0</v>
      </c>
      <c r="K180" s="67" t="b">
        <v>0</v>
      </c>
      <c r="L180" s="67" t="b">
        <v>0</v>
      </c>
    </row>
    <row r="181" spans="1:12" ht="15">
      <c r="A181" s="136" t="s">
        <v>2125</v>
      </c>
      <c r="B181" s="67" t="s">
        <v>2162</v>
      </c>
      <c r="C181" s="67">
        <v>2</v>
      </c>
      <c r="D181" s="139">
        <v>0.003339787015918944</v>
      </c>
      <c r="E181" s="139">
        <v>2.66228551572213</v>
      </c>
      <c r="F181" s="67" t="s">
        <v>2234</v>
      </c>
      <c r="G181" s="67" t="b">
        <v>0</v>
      </c>
      <c r="H181" s="67" t="b">
        <v>0</v>
      </c>
      <c r="I181" s="67" t="b">
        <v>0</v>
      </c>
      <c r="J181" s="67" t="b">
        <v>0</v>
      </c>
      <c r="K181" s="67" t="b">
        <v>0</v>
      </c>
      <c r="L181" s="67" t="b">
        <v>0</v>
      </c>
    </row>
    <row r="182" spans="1:12" ht="15">
      <c r="A182" s="136" t="s">
        <v>2073</v>
      </c>
      <c r="B182" s="67" t="s">
        <v>2148</v>
      </c>
      <c r="C182" s="67">
        <v>2</v>
      </c>
      <c r="D182" s="139">
        <v>0.003339787015918944</v>
      </c>
      <c r="E182" s="139">
        <v>2.66228551572213</v>
      </c>
      <c r="F182" s="67" t="s">
        <v>2234</v>
      </c>
      <c r="G182" s="67" t="b">
        <v>0</v>
      </c>
      <c r="H182" s="67" t="b">
        <v>0</v>
      </c>
      <c r="I182" s="67" t="b">
        <v>0</v>
      </c>
      <c r="J182" s="67" t="b">
        <v>0</v>
      </c>
      <c r="K182" s="67" t="b">
        <v>0</v>
      </c>
      <c r="L182" s="67" t="b">
        <v>0</v>
      </c>
    </row>
    <row r="183" spans="1:12" ht="15">
      <c r="A183" s="136" t="s">
        <v>2183</v>
      </c>
      <c r="B183" s="67" t="s">
        <v>2205</v>
      </c>
      <c r="C183" s="67">
        <v>2</v>
      </c>
      <c r="D183" s="139">
        <v>0.003339787015918944</v>
      </c>
      <c r="E183" s="139">
        <v>2.66228551572213</v>
      </c>
      <c r="F183" s="67" t="s">
        <v>2234</v>
      </c>
      <c r="G183" s="67" t="b">
        <v>0</v>
      </c>
      <c r="H183" s="67" t="b">
        <v>0</v>
      </c>
      <c r="I183" s="67" t="b">
        <v>0</v>
      </c>
      <c r="J183" s="67" t="b">
        <v>0</v>
      </c>
      <c r="K183" s="67" t="b">
        <v>0</v>
      </c>
      <c r="L183" s="67" t="b">
        <v>0</v>
      </c>
    </row>
    <row r="184" spans="1:12" ht="15">
      <c r="A184" s="136" t="s">
        <v>2169</v>
      </c>
      <c r="B184" s="67" t="s">
        <v>2109</v>
      </c>
      <c r="C184" s="67">
        <v>2</v>
      </c>
      <c r="D184" s="139">
        <v>0.003339787015918944</v>
      </c>
      <c r="E184" s="139">
        <v>2.66228551572213</v>
      </c>
      <c r="F184" s="67" t="s">
        <v>2234</v>
      </c>
      <c r="G184" s="67" t="b">
        <v>0</v>
      </c>
      <c r="H184" s="67" t="b">
        <v>0</v>
      </c>
      <c r="I184" s="67" t="b">
        <v>0</v>
      </c>
      <c r="J184" s="67" t="b">
        <v>0</v>
      </c>
      <c r="K184" s="67" t="b">
        <v>0</v>
      </c>
      <c r="L184" s="67" t="b">
        <v>0</v>
      </c>
    </row>
    <row r="185" spans="1:12" ht="15">
      <c r="A185" s="136" t="s">
        <v>2137</v>
      </c>
      <c r="B185" s="67" t="s">
        <v>2151</v>
      </c>
      <c r="C185" s="67">
        <v>2</v>
      </c>
      <c r="D185" s="139">
        <v>0.003339787015918944</v>
      </c>
      <c r="E185" s="139">
        <v>2.66228551572213</v>
      </c>
      <c r="F185" s="67" t="s">
        <v>2234</v>
      </c>
      <c r="G185" s="67" t="b">
        <v>0</v>
      </c>
      <c r="H185" s="67" t="b">
        <v>0</v>
      </c>
      <c r="I185" s="67" t="b">
        <v>0</v>
      </c>
      <c r="J185" s="67" t="b">
        <v>0</v>
      </c>
      <c r="K185" s="67" t="b">
        <v>0</v>
      </c>
      <c r="L185" s="67" t="b">
        <v>0</v>
      </c>
    </row>
    <row r="186" spans="1:12" ht="15">
      <c r="A186" s="136" t="s">
        <v>1842</v>
      </c>
      <c r="B186" s="67" t="s">
        <v>2084</v>
      </c>
      <c r="C186" s="67">
        <v>2</v>
      </c>
      <c r="D186" s="139">
        <v>0.003339787015918944</v>
      </c>
      <c r="E186" s="139">
        <v>2.66228551572213</v>
      </c>
      <c r="F186" s="67" t="s">
        <v>2234</v>
      </c>
      <c r="G186" s="67" t="b">
        <v>0</v>
      </c>
      <c r="H186" s="67" t="b">
        <v>0</v>
      </c>
      <c r="I186" s="67" t="b">
        <v>0</v>
      </c>
      <c r="J186" s="67" t="b">
        <v>0</v>
      </c>
      <c r="K186" s="67" t="b">
        <v>0</v>
      </c>
      <c r="L186" s="67" t="b">
        <v>0</v>
      </c>
    </row>
    <row r="187" spans="1:12" ht="15">
      <c r="A187" s="136" t="s">
        <v>2104</v>
      </c>
      <c r="B187" s="67" t="s">
        <v>2087</v>
      </c>
      <c r="C187" s="67">
        <v>2</v>
      </c>
      <c r="D187" s="139">
        <v>0.003339787015918944</v>
      </c>
      <c r="E187" s="139">
        <v>2.66228551572213</v>
      </c>
      <c r="F187" s="67" t="s">
        <v>2234</v>
      </c>
      <c r="G187" s="67" t="b">
        <v>0</v>
      </c>
      <c r="H187" s="67" t="b">
        <v>0</v>
      </c>
      <c r="I187" s="67" t="b">
        <v>0</v>
      </c>
      <c r="J187" s="67" t="b">
        <v>0</v>
      </c>
      <c r="K187" s="67" t="b">
        <v>0</v>
      </c>
      <c r="L187" s="67" t="b">
        <v>0</v>
      </c>
    </row>
    <row r="188" spans="1:12" ht="15">
      <c r="A188" s="136" t="s">
        <v>2164</v>
      </c>
      <c r="B188" s="67" t="s">
        <v>1804</v>
      </c>
      <c r="C188" s="67">
        <v>2</v>
      </c>
      <c r="D188" s="139">
        <v>0.003339787015918944</v>
      </c>
      <c r="E188" s="139">
        <v>2.0602255243941676</v>
      </c>
      <c r="F188" s="67" t="s">
        <v>2234</v>
      </c>
      <c r="G188" s="67" t="b">
        <v>0</v>
      </c>
      <c r="H188" s="67" t="b">
        <v>0</v>
      </c>
      <c r="I188" s="67" t="b">
        <v>0</v>
      </c>
      <c r="J188" s="67" t="b">
        <v>0</v>
      </c>
      <c r="K188" s="67" t="b">
        <v>0</v>
      </c>
      <c r="L188" s="67" t="b">
        <v>0</v>
      </c>
    </row>
    <row r="189" spans="1:12" ht="15">
      <c r="A189" s="136" t="s">
        <v>2159</v>
      </c>
      <c r="B189" s="67" t="s">
        <v>2110</v>
      </c>
      <c r="C189" s="67">
        <v>2</v>
      </c>
      <c r="D189" s="139">
        <v>0.003339787015918944</v>
      </c>
      <c r="E189" s="139">
        <v>2.66228551572213</v>
      </c>
      <c r="F189" s="67" t="s">
        <v>2234</v>
      </c>
      <c r="G189" s="67" t="b">
        <v>0</v>
      </c>
      <c r="H189" s="67" t="b">
        <v>0</v>
      </c>
      <c r="I189" s="67" t="b">
        <v>0</v>
      </c>
      <c r="J189" s="67" t="b">
        <v>0</v>
      </c>
      <c r="K189" s="67" t="b">
        <v>0</v>
      </c>
      <c r="L189" s="67" t="b">
        <v>0</v>
      </c>
    </row>
    <row r="190" spans="1:12" ht="15">
      <c r="A190" s="136" t="s">
        <v>2058</v>
      </c>
      <c r="B190" s="67" t="s">
        <v>2122</v>
      </c>
      <c r="C190" s="67">
        <v>2</v>
      </c>
      <c r="D190" s="139">
        <v>0.003339787015918944</v>
      </c>
      <c r="E190" s="139">
        <v>2.4861942566664488</v>
      </c>
      <c r="F190" s="67" t="s">
        <v>2234</v>
      </c>
      <c r="G190" s="67" t="b">
        <v>0</v>
      </c>
      <c r="H190" s="67" t="b">
        <v>0</v>
      </c>
      <c r="I190" s="67" t="b">
        <v>0</v>
      </c>
      <c r="J190" s="67" t="b">
        <v>0</v>
      </c>
      <c r="K190" s="67" t="b">
        <v>0</v>
      </c>
      <c r="L190" s="67" t="b">
        <v>0</v>
      </c>
    </row>
    <row r="191" spans="1:12" ht="15">
      <c r="A191" s="136" t="s">
        <v>2114</v>
      </c>
      <c r="B191" s="67" t="s">
        <v>2118</v>
      </c>
      <c r="C191" s="67">
        <v>2</v>
      </c>
      <c r="D191" s="139">
        <v>0.003339787015918944</v>
      </c>
      <c r="E191" s="139">
        <v>2.66228551572213</v>
      </c>
      <c r="F191" s="67" t="s">
        <v>2234</v>
      </c>
      <c r="G191" s="67" t="b">
        <v>0</v>
      </c>
      <c r="H191" s="67" t="b">
        <v>0</v>
      </c>
      <c r="I191" s="67" t="b">
        <v>0</v>
      </c>
      <c r="J191" s="67" t="b">
        <v>0</v>
      </c>
      <c r="K191" s="67" t="b">
        <v>0</v>
      </c>
      <c r="L191" s="67" t="b">
        <v>0</v>
      </c>
    </row>
    <row r="192" spans="1:12" ht="15">
      <c r="A192" s="136" t="s">
        <v>2139</v>
      </c>
      <c r="B192" s="67" t="s">
        <v>2173</v>
      </c>
      <c r="C192" s="67">
        <v>2</v>
      </c>
      <c r="D192" s="139">
        <v>0.003339787015918944</v>
      </c>
      <c r="E192" s="139">
        <v>2.66228551572213</v>
      </c>
      <c r="F192" s="67" t="s">
        <v>2234</v>
      </c>
      <c r="G192" s="67" t="b">
        <v>0</v>
      </c>
      <c r="H192" s="67" t="b">
        <v>0</v>
      </c>
      <c r="I192" s="67" t="b">
        <v>0</v>
      </c>
      <c r="J192" s="67" t="b">
        <v>0</v>
      </c>
      <c r="K192" s="67" t="b">
        <v>0</v>
      </c>
      <c r="L192" s="67" t="b">
        <v>0</v>
      </c>
    </row>
    <row r="193" spans="1:12" ht="15">
      <c r="A193" s="136" t="s">
        <v>317</v>
      </c>
      <c r="B193" s="67" t="s">
        <v>1843</v>
      </c>
      <c r="C193" s="67">
        <v>2</v>
      </c>
      <c r="D193" s="139">
        <v>0.003339787015918944</v>
      </c>
      <c r="E193" s="139">
        <v>2.66228551572213</v>
      </c>
      <c r="F193" s="67" t="s">
        <v>2234</v>
      </c>
      <c r="G193" s="67" t="b">
        <v>0</v>
      </c>
      <c r="H193" s="67" t="b">
        <v>0</v>
      </c>
      <c r="I193" s="67" t="b">
        <v>0</v>
      </c>
      <c r="J193" s="67" t="b">
        <v>0</v>
      </c>
      <c r="K193" s="67" t="b">
        <v>0</v>
      </c>
      <c r="L193" s="67" t="b">
        <v>0</v>
      </c>
    </row>
    <row r="194" spans="1:12" ht="15">
      <c r="A194" s="136" t="s">
        <v>1843</v>
      </c>
      <c r="B194" s="67" t="s">
        <v>1848</v>
      </c>
      <c r="C194" s="67">
        <v>2</v>
      </c>
      <c r="D194" s="139">
        <v>0.003339787015918944</v>
      </c>
      <c r="E194" s="139">
        <v>2.66228551572213</v>
      </c>
      <c r="F194" s="67" t="s">
        <v>2234</v>
      </c>
      <c r="G194" s="67" t="b">
        <v>0</v>
      </c>
      <c r="H194" s="67" t="b">
        <v>0</v>
      </c>
      <c r="I194" s="67" t="b">
        <v>0</v>
      </c>
      <c r="J194" s="67" t="b">
        <v>0</v>
      </c>
      <c r="K194" s="67" t="b">
        <v>0</v>
      </c>
      <c r="L194" s="67" t="b">
        <v>0</v>
      </c>
    </row>
    <row r="195" spans="1:12" ht="15">
      <c r="A195" s="136" t="s">
        <v>2202</v>
      </c>
      <c r="B195" s="67" t="s">
        <v>2189</v>
      </c>
      <c r="C195" s="67">
        <v>2</v>
      </c>
      <c r="D195" s="139">
        <v>0.003339787015918944</v>
      </c>
      <c r="E195" s="139">
        <v>2.66228551572213</v>
      </c>
      <c r="F195" s="67" t="s">
        <v>2234</v>
      </c>
      <c r="G195" s="67" t="b">
        <v>0</v>
      </c>
      <c r="H195" s="67" t="b">
        <v>0</v>
      </c>
      <c r="I195" s="67" t="b">
        <v>0</v>
      </c>
      <c r="J195" s="67" t="b">
        <v>0</v>
      </c>
      <c r="K195" s="67" t="b">
        <v>0</v>
      </c>
      <c r="L195" s="67" t="b">
        <v>0</v>
      </c>
    </row>
    <row r="196" spans="1:12" ht="15">
      <c r="A196" s="136" t="s">
        <v>2211</v>
      </c>
      <c r="B196" s="67" t="s">
        <v>2178</v>
      </c>
      <c r="C196" s="67">
        <v>2</v>
      </c>
      <c r="D196" s="139">
        <v>0.003339787015918944</v>
      </c>
      <c r="E196" s="139">
        <v>2.66228551572213</v>
      </c>
      <c r="F196" s="67" t="s">
        <v>2234</v>
      </c>
      <c r="G196" s="67" t="b">
        <v>0</v>
      </c>
      <c r="H196" s="67" t="b">
        <v>0</v>
      </c>
      <c r="I196" s="67" t="b">
        <v>0</v>
      </c>
      <c r="J196" s="67" t="b">
        <v>0</v>
      </c>
      <c r="K196" s="67" t="b">
        <v>0</v>
      </c>
      <c r="L196" s="67" t="b">
        <v>0</v>
      </c>
    </row>
    <row r="197" spans="1:12" ht="15">
      <c r="A197" s="136" t="s">
        <v>1827</v>
      </c>
      <c r="B197" s="67" t="s">
        <v>1829</v>
      </c>
      <c r="C197" s="67">
        <v>2</v>
      </c>
      <c r="D197" s="139">
        <v>0.003339787015918944</v>
      </c>
      <c r="E197" s="139">
        <v>2.66228551572213</v>
      </c>
      <c r="F197" s="67" t="s">
        <v>2234</v>
      </c>
      <c r="G197" s="67" t="b">
        <v>0</v>
      </c>
      <c r="H197" s="67" t="b">
        <v>0</v>
      </c>
      <c r="I197" s="67" t="b">
        <v>0</v>
      </c>
      <c r="J197" s="67" t="b">
        <v>0</v>
      </c>
      <c r="K197" s="67" t="b">
        <v>0</v>
      </c>
      <c r="L197" s="67" t="b">
        <v>0</v>
      </c>
    </row>
    <row r="198" spans="1:12" ht="15">
      <c r="A198" s="136" t="s">
        <v>333</v>
      </c>
      <c r="B198" s="67" t="s">
        <v>954</v>
      </c>
      <c r="C198" s="67">
        <v>2</v>
      </c>
      <c r="D198" s="139">
        <v>0.003339787015918944</v>
      </c>
      <c r="E198" s="139">
        <v>2.361255520058149</v>
      </c>
      <c r="F198" s="67" t="s">
        <v>2234</v>
      </c>
      <c r="G198" s="67" t="b">
        <v>0</v>
      </c>
      <c r="H198" s="67" t="b">
        <v>0</v>
      </c>
      <c r="I198" s="67" t="b">
        <v>0</v>
      </c>
      <c r="J198" s="67" t="b">
        <v>0</v>
      </c>
      <c r="K198" s="67" t="b">
        <v>0</v>
      </c>
      <c r="L198" s="67" t="b">
        <v>0</v>
      </c>
    </row>
    <row r="199" spans="1:12" ht="15">
      <c r="A199" s="136" t="s">
        <v>963</v>
      </c>
      <c r="B199" s="67" t="s">
        <v>2096</v>
      </c>
      <c r="C199" s="67">
        <v>2</v>
      </c>
      <c r="D199" s="139">
        <v>0.003339787015918944</v>
      </c>
      <c r="E199" s="139">
        <v>2.0090730019467866</v>
      </c>
      <c r="F199" s="67" t="s">
        <v>2234</v>
      </c>
      <c r="G199" s="67" t="b">
        <v>0</v>
      </c>
      <c r="H199" s="67" t="b">
        <v>0</v>
      </c>
      <c r="I199" s="67" t="b">
        <v>0</v>
      </c>
      <c r="J199" s="67" t="b">
        <v>0</v>
      </c>
      <c r="K199" s="67" t="b">
        <v>0</v>
      </c>
      <c r="L199" s="67" t="b">
        <v>0</v>
      </c>
    </row>
    <row r="200" spans="1:12" ht="15">
      <c r="A200" s="136" t="s">
        <v>2226</v>
      </c>
      <c r="B200" s="67" t="s">
        <v>2197</v>
      </c>
      <c r="C200" s="67">
        <v>2</v>
      </c>
      <c r="D200" s="139">
        <v>0.003339787015918944</v>
      </c>
      <c r="E200" s="139">
        <v>2.66228551572213</v>
      </c>
      <c r="F200" s="67" t="s">
        <v>2234</v>
      </c>
      <c r="G200" s="67" t="b">
        <v>0</v>
      </c>
      <c r="H200" s="67" t="b">
        <v>0</v>
      </c>
      <c r="I200" s="67" t="b">
        <v>0</v>
      </c>
      <c r="J200" s="67" t="b">
        <v>0</v>
      </c>
      <c r="K200" s="67" t="b">
        <v>0</v>
      </c>
      <c r="L200" s="67" t="b">
        <v>0</v>
      </c>
    </row>
    <row r="201" spans="1:12" ht="15">
      <c r="A201" s="136" t="s">
        <v>2182</v>
      </c>
      <c r="B201" s="67" t="s">
        <v>2159</v>
      </c>
      <c r="C201" s="67">
        <v>2</v>
      </c>
      <c r="D201" s="139">
        <v>0.003339787015918944</v>
      </c>
      <c r="E201" s="139">
        <v>2.66228551572213</v>
      </c>
      <c r="F201" s="67" t="s">
        <v>2234</v>
      </c>
      <c r="G201" s="67" t="b">
        <v>0</v>
      </c>
      <c r="H201" s="67" t="b">
        <v>0</v>
      </c>
      <c r="I201" s="67" t="b">
        <v>0</v>
      </c>
      <c r="J201" s="67" t="b">
        <v>0</v>
      </c>
      <c r="K201" s="67" t="b">
        <v>0</v>
      </c>
      <c r="L201" s="67" t="b">
        <v>0</v>
      </c>
    </row>
    <row r="202" spans="1:12" ht="15">
      <c r="A202" s="136" t="s">
        <v>2086</v>
      </c>
      <c r="B202" s="67" t="s">
        <v>2085</v>
      </c>
      <c r="C202" s="67">
        <v>2</v>
      </c>
      <c r="D202" s="139">
        <v>0.003339787015918944</v>
      </c>
      <c r="E202" s="139">
        <v>2.66228551572213</v>
      </c>
      <c r="F202" s="67" t="s">
        <v>2234</v>
      </c>
      <c r="G202" s="67" t="b">
        <v>0</v>
      </c>
      <c r="H202" s="67" t="b">
        <v>0</v>
      </c>
      <c r="I202" s="67" t="b">
        <v>0</v>
      </c>
      <c r="J202" s="67" t="b">
        <v>0</v>
      </c>
      <c r="K202" s="67" t="b">
        <v>0</v>
      </c>
      <c r="L202" s="67" t="b">
        <v>0</v>
      </c>
    </row>
    <row r="203" spans="1:12" ht="15">
      <c r="A203" s="136" t="s">
        <v>2168</v>
      </c>
      <c r="B203" s="67" t="s">
        <v>1808</v>
      </c>
      <c r="C203" s="67">
        <v>2</v>
      </c>
      <c r="D203" s="139">
        <v>0.003339787015918944</v>
      </c>
      <c r="E203" s="139">
        <v>2.361255520058149</v>
      </c>
      <c r="F203" s="67" t="s">
        <v>2234</v>
      </c>
      <c r="G203" s="67" t="b">
        <v>0</v>
      </c>
      <c r="H203" s="67" t="b">
        <v>0</v>
      </c>
      <c r="I203" s="67" t="b">
        <v>0</v>
      </c>
      <c r="J203" s="67" t="b">
        <v>0</v>
      </c>
      <c r="K203" s="67" t="b">
        <v>0</v>
      </c>
      <c r="L203" s="67" t="b">
        <v>0</v>
      </c>
    </row>
    <row r="204" spans="1:12" ht="15">
      <c r="A204" s="136" t="s">
        <v>2071</v>
      </c>
      <c r="B204" s="67" t="s">
        <v>2181</v>
      </c>
      <c r="C204" s="67">
        <v>2</v>
      </c>
      <c r="D204" s="139">
        <v>0.003339787015918944</v>
      </c>
      <c r="E204" s="139">
        <v>2.66228551572213</v>
      </c>
      <c r="F204" s="67" t="s">
        <v>2234</v>
      </c>
      <c r="G204" s="67" t="b">
        <v>0</v>
      </c>
      <c r="H204" s="67" t="b">
        <v>0</v>
      </c>
      <c r="I204" s="67" t="b">
        <v>0</v>
      </c>
      <c r="J204" s="67" t="b">
        <v>0</v>
      </c>
      <c r="K204" s="67" t="b">
        <v>0</v>
      </c>
      <c r="L204" s="67" t="b">
        <v>0</v>
      </c>
    </row>
    <row r="205" spans="1:12" ht="15">
      <c r="A205" s="136" t="s">
        <v>1848</v>
      </c>
      <c r="B205" s="67" t="s">
        <v>2227</v>
      </c>
      <c r="C205" s="67">
        <v>2</v>
      </c>
      <c r="D205" s="139">
        <v>0.003339787015918944</v>
      </c>
      <c r="E205" s="139">
        <v>2.66228551572213</v>
      </c>
      <c r="F205" s="67" t="s">
        <v>2234</v>
      </c>
      <c r="G205" s="67" t="b">
        <v>0</v>
      </c>
      <c r="H205" s="67" t="b">
        <v>0</v>
      </c>
      <c r="I205" s="67" t="b">
        <v>0</v>
      </c>
      <c r="J205" s="67" t="b">
        <v>0</v>
      </c>
      <c r="K205" s="67" t="b">
        <v>0</v>
      </c>
      <c r="L205" s="67" t="b">
        <v>0</v>
      </c>
    </row>
    <row r="206" spans="1:12" ht="15">
      <c r="A206" s="136" t="s">
        <v>2120</v>
      </c>
      <c r="B206" s="67" t="s">
        <v>2083</v>
      </c>
      <c r="C206" s="67">
        <v>2</v>
      </c>
      <c r="D206" s="139">
        <v>0.003339787015918944</v>
      </c>
      <c r="E206" s="139">
        <v>2.66228551572213</v>
      </c>
      <c r="F206" s="67" t="s">
        <v>2234</v>
      </c>
      <c r="G206" s="67" t="b">
        <v>0</v>
      </c>
      <c r="H206" s="67" t="b">
        <v>0</v>
      </c>
      <c r="I206" s="67" t="b">
        <v>0</v>
      </c>
      <c r="J206" s="67" t="b">
        <v>0</v>
      </c>
      <c r="K206" s="67" t="b">
        <v>0</v>
      </c>
      <c r="L206" s="67" t="b">
        <v>0</v>
      </c>
    </row>
    <row r="207" spans="1:12" ht="15">
      <c r="A207" s="136" t="s">
        <v>2067</v>
      </c>
      <c r="B207" s="67" t="s">
        <v>1830</v>
      </c>
      <c r="C207" s="67">
        <v>2</v>
      </c>
      <c r="D207" s="139">
        <v>0.003339787015918944</v>
      </c>
      <c r="E207" s="139">
        <v>2.361255520058149</v>
      </c>
      <c r="F207" s="67" t="s">
        <v>2234</v>
      </c>
      <c r="G207" s="67" t="b">
        <v>0</v>
      </c>
      <c r="H207" s="67" t="b">
        <v>0</v>
      </c>
      <c r="I207" s="67" t="b">
        <v>0</v>
      </c>
      <c r="J207" s="67" t="b">
        <v>0</v>
      </c>
      <c r="K207" s="67" t="b">
        <v>0</v>
      </c>
      <c r="L207" s="67" t="b">
        <v>0</v>
      </c>
    </row>
    <row r="208" spans="1:12" ht="15">
      <c r="A208" s="136" t="s">
        <v>1820</v>
      </c>
      <c r="B208" s="67" t="s">
        <v>2142</v>
      </c>
      <c r="C208" s="67">
        <v>2</v>
      </c>
      <c r="D208" s="139">
        <v>0.003339787015918944</v>
      </c>
      <c r="E208" s="139">
        <v>2.66228551572213</v>
      </c>
      <c r="F208" s="67" t="s">
        <v>2234</v>
      </c>
      <c r="G208" s="67" t="b">
        <v>0</v>
      </c>
      <c r="H208" s="67" t="b">
        <v>0</v>
      </c>
      <c r="I208" s="67" t="b">
        <v>0</v>
      </c>
      <c r="J208" s="67" t="b">
        <v>0</v>
      </c>
      <c r="K208" s="67" t="b">
        <v>0</v>
      </c>
      <c r="L208" s="67" t="b">
        <v>0</v>
      </c>
    </row>
    <row r="209" spans="1:12" ht="15">
      <c r="A209" s="136" t="s">
        <v>942</v>
      </c>
      <c r="B209" s="67" t="s">
        <v>941</v>
      </c>
      <c r="C209" s="67">
        <v>2</v>
      </c>
      <c r="D209" s="139">
        <v>0.003339787015918944</v>
      </c>
      <c r="E209" s="139">
        <v>2.66228551572213</v>
      </c>
      <c r="F209" s="67" t="s">
        <v>2234</v>
      </c>
      <c r="G209" s="67" t="b">
        <v>0</v>
      </c>
      <c r="H209" s="67" t="b">
        <v>0</v>
      </c>
      <c r="I209" s="67" t="b">
        <v>0</v>
      </c>
      <c r="J209" s="67" t="b">
        <v>0</v>
      </c>
      <c r="K209" s="67" t="b">
        <v>0</v>
      </c>
      <c r="L209" s="67" t="b">
        <v>0</v>
      </c>
    </row>
    <row r="210" spans="1:12" ht="15">
      <c r="A210" s="136" t="s">
        <v>2208</v>
      </c>
      <c r="B210" s="67" t="s">
        <v>2138</v>
      </c>
      <c r="C210" s="67">
        <v>2</v>
      </c>
      <c r="D210" s="139">
        <v>0.003339787015918944</v>
      </c>
      <c r="E210" s="139">
        <v>2.66228551572213</v>
      </c>
      <c r="F210" s="67" t="s">
        <v>2234</v>
      </c>
      <c r="G210" s="67" t="b">
        <v>0</v>
      </c>
      <c r="H210" s="67" t="b">
        <v>0</v>
      </c>
      <c r="I210" s="67" t="b">
        <v>0</v>
      </c>
      <c r="J210" s="67" t="b">
        <v>0</v>
      </c>
      <c r="K210" s="67" t="b">
        <v>0</v>
      </c>
      <c r="L210" s="67" t="b">
        <v>0</v>
      </c>
    </row>
    <row r="211" spans="1:12" ht="15">
      <c r="A211" s="136" t="s">
        <v>1799</v>
      </c>
      <c r="B211" s="67" t="s">
        <v>1798</v>
      </c>
      <c r="C211" s="67">
        <v>14</v>
      </c>
      <c r="D211" s="139">
        <v>0.0180153403580567</v>
      </c>
      <c r="E211" s="139">
        <v>1.3177649533076692</v>
      </c>
      <c r="F211" s="67" t="s">
        <v>692</v>
      </c>
      <c r="G211" s="67" t="b">
        <v>0</v>
      </c>
      <c r="H211" s="67" t="b">
        <v>0</v>
      </c>
      <c r="I211" s="67" t="b">
        <v>0</v>
      </c>
      <c r="J211" s="67" t="b">
        <v>0</v>
      </c>
      <c r="K211" s="67" t="b">
        <v>0</v>
      </c>
      <c r="L211" s="67" t="b">
        <v>0</v>
      </c>
    </row>
    <row r="212" spans="1:12" ht="15">
      <c r="A212" s="136" t="s">
        <v>958</v>
      </c>
      <c r="B212" s="67" t="s">
        <v>1799</v>
      </c>
      <c r="C212" s="67">
        <v>14</v>
      </c>
      <c r="D212" s="139">
        <v>0.0180153403580567</v>
      </c>
      <c r="E212" s="139">
        <v>1.3177649533076692</v>
      </c>
      <c r="F212" s="67" t="s">
        <v>692</v>
      </c>
      <c r="G212" s="67" t="b">
        <v>0</v>
      </c>
      <c r="H212" s="67" t="b">
        <v>0</v>
      </c>
      <c r="I212" s="67" t="b">
        <v>0</v>
      </c>
      <c r="J212" s="67" t="b">
        <v>0</v>
      </c>
      <c r="K212" s="67" t="b">
        <v>0</v>
      </c>
      <c r="L212" s="67" t="b">
        <v>0</v>
      </c>
    </row>
    <row r="213" spans="1:12" ht="15">
      <c r="A213" s="136" t="s">
        <v>1804</v>
      </c>
      <c r="B213" s="67" t="s">
        <v>1802</v>
      </c>
      <c r="C213" s="67">
        <v>6</v>
      </c>
      <c r="D213" s="139">
        <v>0.014452142811280816</v>
      </c>
      <c r="E213" s="139">
        <v>1.6857417386022637</v>
      </c>
      <c r="F213" s="67" t="s">
        <v>692</v>
      </c>
      <c r="G213" s="67" t="b">
        <v>0</v>
      </c>
      <c r="H213" s="67" t="b">
        <v>0</v>
      </c>
      <c r="I213" s="67" t="b">
        <v>0</v>
      </c>
      <c r="J213" s="67" t="b">
        <v>0</v>
      </c>
      <c r="K213" s="67" t="b">
        <v>0</v>
      </c>
      <c r="L213" s="67" t="b">
        <v>0</v>
      </c>
    </row>
    <row r="214" spans="1:12" ht="15">
      <c r="A214" s="136" t="s">
        <v>1802</v>
      </c>
      <c r="B214" s="67" t="s">
        <v>1806</v>
      </c>
      <c r="C214" s="67">
        <v>6</v>
      </c>
      <c r="D214" s="139">
        <v>0.014452142811280816</v>
      </c>
      <c r="E214" s="139">
        <v>1.6857417386022637</v>
      </c>
      <c r="F214" s="67" t="s">
        <v>692</v>
      </c>
      <c r="G214" s="67" t="b">
        <v>0</v>
      </c>
      <c r="H214" s="67" t="b">
        <v>0</v>
      </c>
      <c r="I214" s="67" t="b">
        <v>0</v>
      </c>
      <c r="J214" s="67" t="b">
        <v>0</v>
      </c>
      <c r="K214" s="67" t="b">
        <v>0</v>
      </c>
      <c r="L214" s="67" t="b">
        <v>0</v>
      </c>
    </row>
    <row r="215" spans="1:12" ht="15">
      <c r="A215" s="136" t="s">
        <v>1808</v>
      </c>
      <c r="B215" s="67" t="s">
        <v>1804</v>
      </c>
      <c r="C215" s="67">
        <v>4</v>
      </c>
      <c r="D215" s="139">
        <v>0.011782216252915033</v>
      </c>
      <c r="E215" s="139">
        <v>1.6187949489716504</v>
      </c>
      <c r="F215" s="67" t="s">
        <v>692</v>
      </c>
      <c r="G215" s="67" t="b">
        <v>0</v>
      </c>
      <c r="H215" s="67" t="b">
        <v>0</v>
      </c>
      <c r="I215" s="67" t="b">
        <v>0</v>
      </c>
      <c r="J215" s="67" t="b">
        <v>0</v>
      </c>
      <c r="K215" s="67" t="b">
        <v>0</v>
      </c>
      <c r="L215" s="67" t="b">
        <v>0</v>
      </c>
    </row>
    <row r="216" spans="1:12" ht="15">
      <c r="A216" s="136" t="s">
        <v>929</v>
      </c>
      <c r="B216" s="67" t="s">
        <v>958</v>
      </c>
      <c r="C216" s="67">
        <v>3</v>
      </c>
      <c r="D216" s="139">
        <v>0.009979394536713407</v>
      </c>
      <c r="E216" s="139">
        <v>1.0167349576436882</v>
      </c>
      <c r="F216" s="67" t="s">
        <v>692</v>
      </c>
      <c r="G216" s="67" t="b">
        <v>0</v>
      </c>
      <c r="H216" s="67" t="b">
        <v>0</v>
      </c>
      <c r="I216" s="67" t="b">
        <v>0</v>
      </c>
      <c r="J216" s="67" t="b">
        <v>0</v>
      </c>
      <c r="K216" s="67" t="b">
        <v>0</v>
      </c>
      <c r="L216" s="67" t="b">
        <v>0</v>
      </c>
    </row>
    <row r="217" spans="1:12" ht="15">
      <c r="A217" s="136" t="s">
        <v>2198</v>
      </c>
      <c r="B217" s="67" t="s">
        <v>2224</v>
      </c>
      <c r="C217" s="67">
        <v>2</v>
      </c>
      <c r="D217" s="139">
        <v>0.007726656880506181</v>
      </c>
      <c r="E217" s="139">
        <v>2.162862993321926</v>
      </c>
      <c r="F217" s="67" t="s">
        <v>692</v>
      </c>
      <c r="G217" s="67" t="b">
        <v>0</v>
      </c>
      <c r="H217" s="67" t="b">
        <v>0</v>
      </c>
      <c r="I217" s="67" t="b">
        <v>0</v>
      </c>
      <c r="J217" s="67" t="b">
        <v>0</v>
      </c>
      <c r="K217" s="67" t="b">
        <v>0</v>
      </c>
      <c r="L217" s="67" t="b">
        <v>0</v>
      </c>
    </row>
    <row r="218" spans="1:12" ht="15">
      <c r="A218" s="136" t="s">
        <v>2232</v>
      </c>
      <c r="B218" s="67" t="s">
        <v>2101</v>
      </c>
      <c r="C218" s="67">
        <v>2</v>
      </c>
      <c r="D218" s="139">
        <v>0.007726656880506181</v>
      </c>
      <c r="E218" s="139">
        <v>2.162862993321926</v>
      </c>
      <c r="F218" s="67" t="s">
        <v>692</v>
      </c>
      <c r="G218" s="67" t="b">
        <v>0</v>
      </c>
      <c r="H218" s="67" t="b">
        <v>0</v>
      </c>
      <c r="I218" s="67" t="b">
        <v>0</v>
      </c>
      <c r="J218" s="67" t="b">
        <v>0</v>
      </c>
      <c r="K218" s="67" t="b">
        <v>0</v>
      </c>
      <c r="L218" s="67" t="b">
        <v>0</v>
      </c>
    </row>
    <row r="219" spans="1:12" ht="15">
      <c r="A219" s="136" t="s">
        <v>2143</v>
      </c>
      <c r="B219" s="67" t="s">
        <v>2223</v>
      </c>
      <c r="C219" s="67">
        <v>2</v>
      </c>
      <c r="D219" s="139">
        <v>0.007726656880506181</v>
      </c>
      <c r="E219" s="139">
        <v>2.162862993321926</v>
      </c>
      <c r="F219" s="67" t="s">
        <v>692</v>
      </c>
      <c r="G219" s="67" t="b">
        <v>0</v>
      </c>
      <c r="H219" s="67" t="b">
        <v>0</v>
      </c>
      <c r="I219" s="67" t="b">
        <v>0</v>
      </c>
      <c r="J219" s="67" t="b">
        <v>0</v>
      </c>
      <c r="K219" s="67" t="b">
        <v>0</v>
      </c>
      <c r="L219" s="67" t="b">
        <v>0</v>
      </c>
    </row>
    <row r="220" spans="1:12" ht="15">
      <c r="A220" s="136" t="s">
        <v>2162</v>
      </c>
      <c r="B220" s="67" t="s">
        <v>2194</v>
      </c>
      <c r="C220" s="67">
        <v>2</v>
      </c>
      <c r="D220" s="139">
        <v>0.007726656880506181</v>
      </c>
      <c r="E220" s="139">
        <v>2.162862993321926</v>
      </c>
      <c r="F220" s="67" t="s">
        <v>692</v>
      </c>
      <c r="G220" s="67" t="b">
        <v>0</v>
      </c>
      <c r="H220" s="67" t="b">
        <v>0</v>
      </c>
      <c r="I220" s="67" t="b">
        <v>0</v>
      </c>
      <c r="J220" s="67" t="b">
        <v>0</v>
      </c>
      <c r="K220" s="67" t="b">
        <v>0</v>
      </c>
      <c r="L220" s="67" t="b">
        <v>0</v>
      </c>
    </row>
    <row r="221" spans="1:12" ht="15">
      <c r="A221" s="136" t="s">
        <v>2186</v>
      </c>
      <c r="B221" s="67" t="s">
        <v>2089</v>
      </c>
      <c r="C221" s="67">
        <v>2</v>
      </c>
      <c r="D221" s="139">
        <v>0.007726656880506181</v>
      </c>
      <c r="E221" s="139">
        <v>2.162862993321926</v>
      </c>
      <c r="F221" s="67" t="s">
        <v>692</v>
      </c>
      <c r="G221" s="67" t="b">
        <v>0</v>
      </c>
      <c r="H221" s="67" t="b">
        <v>0</v>
      </c>
      <c r="I221" s="67" t="b">
        <v>0</v>
      </c>
      <c r="J221" s="67" t="b">
        <v>0</v>
      </c>
      <c r="K221" s="67" t="b">
        <v>0</v>
      </c>
      <c r="L221" s="67" t="b">
        <v>0</v>
      </c>
    </row>
    <row r="222" spans="1:12" ht="15">
      <c r="A222" s="136" t="s">
        <v>2071</v>
      </c>
      <c r="B222" s="67" t="s">
        <v>2181</v>
      </c>
      <c r="C222" s="67">
        <v>2</v>
      </c>
      <c r="D222" s="139">
        <v>0.007726656880506181</v>
      </c>
      <c r="E222" s="139">
        <v>2.162862993321926</v>
      </c>
      <c r="F222" s="67" t="s">
        <v>692</v>
      </c>
      <c r="G222" s="67" t="b">
        <v>0</v>
      </c>
      <c r="H222" s="67" t="b">
        <v>0</v>
      </c>
      <c r="I222" s="67" t="b">
        <v>0</v>
      </c>
      <c r="J222" s="67" t="b">
        <v>0</v>
      </c>
      <c r="K222" s="67" t="b">
        <v>0</v>
      </c>
      <c r="L222" s="67" t="b">
        <v>0</v>
      </c>
    </row>
    <row r="223" spans="1:12" ht="15">
      <c r="A223" s="136" t="s">
        <v>2159</v>
      </c>
      <c r="B223" s="67" t="s">
        <v>2110</v>
      </c>
      <c r="C223" s="67">
        <v>2</v>
      </c>
      <c r="D223" s="139">
        <v>0.007726656880506181</v>
      </c>
      <c r="E223" s="139">
        <v>2.162862993321926</v>
      </c>
      <c r="F223" s="67" t="s">
        <v>692</v>
      </c>
      <c r="G223" s="67" t="b">
        <v>0</v>
      </c>
      <c r="H223" s="67" t="b">
        <v>0</v>
      </c>
      <c r="I223" s="67" t="b">
        <v>0</v>
      </c>
      <c r="J223" s="67" t="b">
        <v>0</v>
      </c>
      <c r="K223" s="67" t="b">
        <v>0</v>
      </c>
      <c r="L223" s="67" t="b">
        <v>0</v>
      </c>
    </row>
    <row r="224" spans="1:12" ht="15">
      <c r="A224" s="136" t="s">
        <v>2068</v>
      </c>
      <c r="B224" s="67" t="s">
        <v>2098</v>
      </c>
      <c r="C224" s="67">
        <v>2</v>
      </c>
      <c r="D224" s="139">
        <v>0.007726656880506181</v>
      </c>
      <c r="E224" s="139">
        <v>2.162862993321926</v>
      </c>
      <c r="F224" s="67" t="s">
        <v>692</v>
      </c>
      <c r="G224" s="67" t="b">
        <v>0</v>
      </c>
      <c r="H224" s="67" t="b">
        <v>0</v>
      </c>
      <c r="I224" s="67" t="b">
        <v>0</v>
      </c>
      <c r="J224" s="67" t="b">
        <v>0</v>
      </c>
      <c r="K224" s="67" t="b">
        <v>0</v>
      </c>
      <c r="L224" s="67" t="b">
        <v>0</v>
      </c>
    </row>
    <row r="225" spans="1:12" ht="15">
      <c r="A225" s="136" t="s">
        <v>2146</v>
      </c>
      <c r="B225" s="67" t="s">
        <v>2072</v>
      </c>
      <c r="C225" s="67">
        <v>2</v>
      </c>
      <c r="D225" s="139">
        <v>0.007726656880506181</v>
      </c>
      <c r="E225" s="139">
        <v>2.162862993321926</v>
      </c>
      <c r="F225" s="67" t="s">
        <v>692</v>
      </c>
      <c r="G225" s="67" t="b">
        <v>0</v>
      </c>
      <c r="H225" s="67" t="b">
        <v>0</v>
      </c>
      <c r="I225" s="67" t="b">
        <v>0</v>
      </c>
      <c r="J225" s="67" t="b">
        <v>0</v>
      </c>
      <c r="K225" s="67" t="b">
        <v>0</v>
      </c>
      <c r="L225" s="67" t="b">
        <v>0</v>
      </c>
    </row>
    <row r="226" spans="1:12" ht="15">
      <c r="A226" s="136" t="s">
        <v>2125</v>
      </c>
      <c r="B226" s="67" t="s">
        <v>2162</v>
      </c>
      <c r="C226" s="67">
        <v>2</v>
      </c>
      <c r="D226" s="139">
        <v>0.007726656880506181</v>
      </c>
      <c r="E226" s="139">
        <v>2.162862993321926</v>
      </c>
      <c r="F226" s="67" t="s">
        <v>692</v>
      </c>
      <c r="G226" s="67" t="b">
        <v>0</v>
      </c>
      <c r="H226" s="67" t="b">
        <v>0</v>
      </c>
      <c r="I226" s="67" t="b">
        <v>0</v>
      </c>
      <c r="J226" s="67" t="b">
        <v>0</v>
      </c>
      <c r="K226" s="67" t="b">
        <v>0</v>
      </c>
      <c r="L226" s="67" t="b">
        <v>0</v>
      </c>
    </row>
    <row r="227" spans="1:12" ht="15">
      <c r="A227" s="136" t="s">
        <v>2169</v>
      </c>
      <c r="B227" s="67" t="s">
        <v>2109</v>
      </c>
      <c r="C227" s="67">
        <v>2</v>
      </c>
      <c r="D227" s="139">
        <v>0.007726656880506181</v>
      </c>
      <c r="E227" s="139">
        <v>2.162862993321926</v>
      </c>
      <c r="F227" s="67" t="s">
        <v>692</v>
      </c>
      <c r="G227" s="67" t="b">
        <v>0</v>
      </c>
      <c r="H227" s="67" t="b">
        <v>0</v>
      </c>
      <c r="I227" s="67" t="b">
        <v>0</v>
      </c>
      <c r="J227" s="67" t="b">
        <v>0</v>
      </c>
      <c r="K227" s="67" t="b">
        <v>0</v>
      </c>
      <c r="L227" s="67" t="b">
        <v>0</v>
      </c>
    </row>
    <row r="228" spans="1:12" ht="15">
      <c r="A228" s="136" t="s">
        <v>2185</v>
      </c>
      <c r="B228" s="67" t="s">
        <v>2165</v>
      </c>
      <c r="C228" s="67">
        <v>2</v>
      </c>
      <c r="D228" s="139">
        <v>0.007726656880506181</v>
      </c>
      <c r="E228" s="139">
        <v>2.162862993321926</v>
      </c>
      <c r="F228" s="67" t="s">
        <v>692</v>
      </c>
      <c r="G228" s="67" t="b">
        <v>0</v>
      </c>
      <c r="H228" s="67" t="b">
        <v>0</v>
      </c>
      <c r="I228" s="67" t="b">
        <v>0</v>
      </c>
      <c r="J228" s="67" t="b">
        <v>0</v>
      </c>
      <c r="K228" s="67" t="b">
        <v>0</v>
      </c>
      <c r="L228" s="67" t="b">
        <v>0</v>
      </c>
    </row>
    <row r="229" spans="1:12" ht="15">
      <c r="A229" s="136" t="s">
        <v>2147</v>
      </c>
      <c r="B229" s="67" t="s">
        <v>2155</v>
      </c>
      <c r="C229" s="67">
        <v>2</v>
      </c>
      <c r="D229" s="139">
        <v>0.007726656880506181</v>
      </c>
      <c r="E229" s="139">
        <v>2.162862993321926</v>
      </c>
      <c r="F229" s="67" t="s">
        <v>692</v>
      </c>
      <c r="G229" s="67" t="b">
        <v>0</v>
      </c>
      <c r="H229" s="67" t="b">
        <v>0</v>
      </c>
      <c r="I229" s="67" t="b">
        <v>0</v>
      </c>
      <c r="J229" s="67" t="b">
        <v>0</v>
      </c>
      <c r="K229" s="67" t="b">
        <v>0</v>
      </c>
      <c r="L229" s="67" t="b">
        <v>0</v>
      </c>
    </row>
    <row r="230" spans="1:12" ht="15">
      <c r="A230" s="136" t="s">
        <v>2188</v>
      </c>
      <c r="B230" s="67" t="s">
        <v>2211</v>
      </c>
      <c r="C230" s="67">
        <v>2</v>
      </c>
      <c r="D230" s="139">
        <v>0.007726656880506181</v>
      </c>
      <c r="E230" s="139">
        <v>2.162862993321926</v>
      </c>
      <c r="F230" s="67" t="s">
        <v>692</v>
      </c>
      <c r="G230" s="67" t="b">
        <v>0</v>
      </c>
      <c r="H230" s="67" t="b">
        <v>0</v>
      </c>
      <c r="I230" s="67" t="b">
        <v>0</v>
      </c>
      <c r="J230" s="67" t="b">
        <v>0</v>
      </c>
      <c r="K230" s="67" t="b">
        <v>0</v>
      </c>
      <c r="L230" s="67" t="b">
        <v>0</v>
      </c>
    </row>
    <row r="231" spans="1:12" ht="15">
      <c r="A231" s="136" t="s">
        <v>2195</v>
      </c>
      <c r="B231" s="67" t="s">
        <v>2071</v>
      </c>
      <c r="C231" s="67">
        <v>2</v>
      </c>
      <c r="D231" s="139">
        <v>0.007726656880506181</v>
      </c>
      <c r="E231" s="139">
        <v>2.162862993321926</v>
      </c>
      <c r="F231" s="67" t="s">
        <v>692</v>
      </c>
      <c r="G231" s="67" t="b">
        <v>0</v>
      </c>
      <c r="H231" s="67" t="b">
        <v>0</v>
      </c>
      <c r="I231" s="67" t="b">
        <v>0</v>
      </c>
      <c r="J231" s="67" t="b">
        <v>0</v>
      </c>
      <c r="K231" s="67" t="b">
        <v>0</v>
      </c>
      <c r="L231" s="67" t="b">
        <v>0</v>
      </c>
    </row>
    <row r="232" spans="1:12" ht="15">
      <c r="A232" s="136" t="s">
        <v>2207</v>
      </c>
      <c r="B232" s="67" t="s">
        <v>2152</v>
      </c>
      <c r="C232" s="67">
        <v>2</v>
      </c>
      <c r="D232" s="139">
        <v>0.007726656880506181</v>
      </c>
      <c r="E232" s="139">
        <v>2.162862993321926</v>
      </c>
      <c r="F232" s="67" t="s">
        <v>692</v>
      </c>
      <c r="G232" s="67" t="b">
        <v>0</v>
      </c>
      <c r="H232" s="67" t="b">
        <v>0</v>
      </c>
      <c r="I232" s="67" t="b">
        <v>0</v>
      </c>
      <c r="J232" s="67" t="b">
        <v>0</v>
      </c>
      <c r="K232" s="67" t="b">
        <v>0</v>
      </c>
      <c r="L232" s="67" t="b">
        <v>0</v>
      </c>
    </row>
    <row r="233" spans="1:12" ht="15">
      <c r="A233" s="136" t="s">
        <v>2189</v>
      </c>
      <c r="B233" s="67" t="s">
        <v>2170</v>
      </c>
      <c r="C233" s="67">
        <v>2</v>
      </c>
      <c r="D233" s="139">
        <v>0.007726656880506181</v>
      </c>
      <c r="E233" s="139">
        <v>2.162862993321926</v>
      </c>
      <c r="F233" s="67" t="s">
        <v>692</v>
      </c>
      <c r="G233" s="67" t="b">
        <v>0</v>
      </c>
      <c r="H233" s="67" t="b">
        <v>0</v>
      </c>
      <c r="I233" s="67" t="b">
        <v>0</v>
      </c>
      <c r="J233" s="67" t="b">
        <v>0</v>
      </c>
      <c r="K233" s="67" t="b">
        <v>0</v>
      </c>
      <c r="L233" s="67" t="b">
        <v>0</v>
      </c>
    </row>
    <row r="234" spans="1:12" ht="15">
      <c r="A234" s="136" t="s">
        <v>2191</v>
      </c>
      <c r="B234" s="67" t="s">
        <v>2137</v>
      </c>
      <c r="C234" s="67">
        <v>2</v>
      </c>
      <c r="D234" s="139">
        <v>0.007726656880506181</v>
      </c>
      <c r="E234" s="139">
        <v>2.162862993321926</v>
      </c>
      <c r="F234" s="67" t="s">
        <v>692</v>
      </c>
      <c r="G234" s="67" t="b">
        <v>0</v>
      </c>
      <c r="H234" s="67" t="b">
        <v>0</v>
      </c>
      <c r="I234" s="67" t="b">
        <v>0</v>
      </c>
      <c r="J234" s="67" t="b">
        <v>0</v>
      </c>
      <c r="K234" s="67" t="b">
        <v>0</v>
      </c>
      <c r="L234" s="67" t="b">
        <v>0</v>
      </c>
    </row>
    <row r="235" spans="1:12" ht="15">
      <c r="A235" s="136" t="s">
        <v>2213</v>
      </c>
      <c r="B235" s="67" t="s">
        <v>2116</v>
      </c>
      <c r="C235" s="67">
        <v>2</v>
      </c>
      <c r="D235" s="139">
        <v>0.007726656880506181</v>
      </c>
      <c r="E235" s="139">
        <v>2.162862993321926</v>
      </c>
      <c r="F235" s="67" t="s">
        <v>692</v>
      </c>
      <c r="G235" s="67" t="b">
        <v>0</v>
      </c>
      <c r="H235" s="67" t="b">
        <v>0</v>
      </c>
      <c r="I235" s="67" t="b">
        <v>0</v>
      </c>
      <c r="J235" s="67" t="b">
        <v>0</v>
      </c>
      <c r="K235" s="67" t="b">
        <v>0</v>
      </c>
      <c r="L235" s="67" t="b">
        <v>0</v>
      </c>
    </row>
    <row r="236" spans="1:12" ht="15">
      <c r="A236" s="136" t="s">
        <v>2193</v>
      </c>
      <c r="B236" s="67" t="s">
        <v>2200</v>
      </c>
      <c r="C236" s="67">
        <v>2</v>
      </c>
      <c r="D236" s="139">
        <v>0.007726656880506181</v>
      </c>
      <c r="E236" s="139">
        <v>2.162862993321926</v>
      </c>
      <c r="F236" s="67" t="s">
        <v>692</v>
      </c>
      <c r="G236" s="67" t="b">
        <v>0</v>
      </c>
      <c r="H236" s="67" t="b">
        <v>0</v>
      </c>
      <c r="I236" s="67" t="b">
        <v>0</v>
      </c>
      <c r="J236" s="67" t="b">
        <v>0</v>
      </c>
      <c r="K236" s="67" t="b">
        <v>0</v>
      </c>
      <c r="L236" s="67" t="b">
        <v>0</v>
      </c>
    </row>
    <row r="237" spans="1:12" ht="15">
      <c r="A237" s="136" t="s">
        <v>2073</v>
      </c>
      <c r="B237" s="67" t="s">
        <v>2148</v>
      </c>
      <c r="C237" s="67">
        <v>2</v>
      </c>
      <c r="D237" s="139">
        <v>0.007726656880506181</v>
      </c>
      <c r="E237" s="139">
        <v>2.162862993321926</v>
      </c>
      <c r="F237" s="67" t="s">
        <v>692</v>
      </c>
      <c r="G237" s="67" t="b">
        <v>0</v>
      </c>
      <c r="H237" s="67" t="b">
        <v>0</v>
      </c>
      <c r="I237" s="67" t="b">
        <v>0</v>
      </c>
      <c r="J237" s="67" t="b">
        <v>0</v>
      </c>
      <c r="K237" s="67" t="b">
        <v>0</v>
      </c>
      <c r="L237" s="67" t="b">
        <v>0</v>
      </c>
    </row>
    <row r="238" spans="1:12" ht="15">
      <c r="A238" s="136" t="s">
        <v>1835</v>
      </c>
      <c r="B238" s="67" t="s">
        <v>2099</v>
      </c>
      <c r="C238" s="67">
        <v>2</v>
      </c>
      <c r="D238" s="139">
        <v>0.007726656880506181</v>
      </c>
      <c r="E238" s="139">
        <v>2.162862993321926</v>
      </c>
      <c r="F238" s="67" t="s">
        <v>692</v>
      </c>
      <c r="G238" s="67" t="b">
        <v>0</v>
      </c>
      <c r="H238" s="67" t="b">
        <v>0</v>
      </c>
      <c r="I238" s="67" t="b">
        <v>0</v>
      </c>
      <c r="J238" s="67" t="b">
        <v>0</v>
      </c>
      <c r="K238" s="67" t="b">
        <v>0</v>
      </c>
      <c r="L238" s="67" t="b">
        <v>0</v>
      </c>
    </row>
    <row r="239" spans="1:12" ht="15">
      <c r="A239" s="136" t="s">
        <v>2088</v>
      </c>
      <c r="B239" s="67" t="s">
        <v>2222</v>
      </c>
      <c r="C239" s="67">
        <v>2</v>
      </c>
      <c r="D239" s="139">
        <v>0.007726656880506181</v>
      </c>
      <c r="E239" s="139">
        <v>2.162862993321926</v>
      </c>
      <c r="F239" s="67" t="s">
        <v>692</v>
      </c>
      <c r="G239" s="67" t="b">
        <v>0</v>
      </c>
      <c r="H239" s="67" t="b">
        <v>0</v>
      </c>
      <c r="I239" s="67" t="b">
        <v>0</v>
      </c>
      <c r="J239" s="67" t="b">
        <v>0</v>
      </c>
      <c r="K239" s="67" t="b">
        <v>0</v>
      </c>
      <c r="L239" s="67" t="b">
        <v>0</v>
      </c>
    </row>
    <row r="240" spans="1:12" ht="15">
      <c r="A240" s="136" t="s">
        <v>2190</v>
      </c>
      <c r="B240" s="67" t="s">
        <v>2185</v>
      </c>
      <c r="C240" s="67">
        <v>2</v>
      </c>
      <c r="D240" s="139">
        <v>0.007726656880506181</v>
      </c>
      <c r="E240" s="139">
        <v>2.162862993321926</v>
      </c>
      <c r="F240" s="67" t="s">
        <v>692</v>
      </c>
      <c r="G240" s="67" t="b">
        <v>0</v>
      </c>
      <c r="H240" s="67" t="b">
        <v>0</v>
      </c>
      <c r="I240" s="67" t="b">
        <v>0</v>
      </c>
      <c r="J240" s="67" t="b">
        <v>0</v>
      </c>
      <c r="K240" s="67" t="b">
        <v>0</v>
      </c>
      <c r="L240" s="67" t="b">
        <v>0</v>
      </c>
    </row>
    <row r="241" spans="1:12" ht="15">
      <c r="A241" s="136" t="s">
        <v>2121</v>
      </c>
      <c r="B241" s="67" t="s">
        <v>2169</v>
      </c>
      <c r="C241" s="67">
        <v>2</v>
      </c>
      <c r="D241" s="139">
        <v>0.007726656880506181</v>
      </c>
      <c r="E241" s="139">
        <v>2.162862993321926</v>
      </c>
      <c r="F241" s="67" t="s">
        <v>692</v>
      </c>
      <c r="G241" s="67" t="b">
        <v>0</v>
      </c>
      <c r="H241" s="67" t="b">
        <v>0</v>
      </c>
      <c r="I241" s="67" t="b">
        <v>0</v>
      </c>
      <c r="J241" s="67" t="b">
        <v>0</v>
      </c>
      <c r="K241" s="67" t="b">
        <v>0</v>
      </c>
      <c r="L241" s="67" t="b">
        <v>0</v>
      </c>
    </row>
    <row r="242" spans="1:12" ht="15">
      <c r="A242" s="136" t="s">
        <v>1806</v>
      </c>
      <c r="B242" s="67" t="s">
        <v>2176</v>
      </c>
      <c r="C242" s="67">
        <v>2</v>
      </c>
      <c r="D242" s="139">
        <v>0.007726656880506181</v>
      </c>
      <c r="E242" s="139">
        <v>1.6857417386022637</v>
      </c>
      <c r="F242" s="67" t="s">
        <v>692</v>
      </c>
      <c r="G242" s="67" t="b">
        <v>0</v>
      </c>
      <c r="H242" s="67" t="b">
        <v>0</v>
      </c>
      <c r="I242" s="67" t="b">
        <v>0</v>
      </c>
      <c r="J242" s="67" t="b">
        <v>0</v>
      </c>
      <c r="K242" s="67" t="b">
        <v>0</v>
      </c>
      <c r="L242" s="67" t="b">
        <v>0</v>
      </c>
    </row>
    <row r="243" spans="1:12" ht="15">
      <c r="A243" s="136" t="s">
        <v>2154</v>
      </c>
      <c r="B243" s="67" t="s">
        <v>2202</v>
      </c>
      <c r="C243" s="67">
        <v>2</v>
      </c>
      <c r="D243" s="139">
        <v>0.007726656880506181</v>
      </c>
      <c r="E243" s="139">
        <v>2.162862993321926</v>
      </c>
      <c r="F243" s="67" t="s">
        <v>692</v>
      </c>
      <c r="G243" s="67" t="b">
        <v>0</v>
      </c>
      <c r="H243" s="67" t="b">
        <v>0</v>
      </c>
      <c r="I243" s="67" t="b">
        <v>0</v>
      </c>
      <c r="J243" s="67" t="b">
        <v>0</v>
      </c>
      <c r="K243" s="67" t="b">
        <v>0</v>
      </c>
      <c r="L243" s="67" t="b">
        <v>0</v>
      </c>
    </row>
    <row r="244" spans="1:12" ht="15">
      <c r="A244" s="136" t="s">
        <v>957</v>
      </c>
      <c r="B244" s="67" t="s">
        <v>958</v>
      </c>
      <c r="C244" s="67">
        <v>2</v>
      </c>
      <c r="D244" s="139">
        <v>0.007726656880506181</v>
      </c>
      <c r="E244" s="139">
        <v>1.3177649533076692</v>
      </c>
      <c r="F244" s="67" t="s">
        <v>692</v>
      </c>
      <c r="G244" s="67" t="b">
        <v>0</v>
      </c>
      <c r="H244" s="67" t="b">
        <v>0</v>
      </c>
      <c r="I244" s="67" t="b">
        <v>0</v>
      </c>
      <c r="J244" s="67" t="b">
        <v>0</v>
      </c>
      <c r="K244" s="67" t="b">
        <v>0</v>
      </c>
      <c r="L244" s="67" t="b">
        <v>0</v>
      </c>
    </row>
    <row r="245" spans="1:12" ht="15">
      <c r="A245" s="136" t="s">
        <v>2174</v>
      </c>
      <c r="B245" s="67" t="s">
        <v>2092</v>
      </c>
      <c r="C245" s="67">
        <v>2</v>
      </c>
      <c r="D245" s="139">
        <v>0.007726656880506181</v>
      </c>
      <c r="E245" s="139">
        <v>2.162862993321926</v>
      </c>
      <c r="F245" s="67" t="s">
        <v>692</v>
      </c>
      <c r="G245" s="67" t="b">
        <v>0</v>
      </c>
      <c r="H245" s="67" t="b">
        <v>0</v>
      </c>
      <c r="I245" s="67" t="b">
        <v>0</v>
      </c>
      <c r="J245" s="67" t="b">
        <v>0</v>
      </c>
      <c r="K245" s="67" t="b">
        <v>0</v>
      </c>
      <c r="L245" s="67" t="b">
        <v>0</v>
      </c>
    </row>
    <row r="246" spans="1:12" ht="15">
      <c r="A246" s="136" t="s">
        <v>2228</v>
      </c>
      <c r="B246" s="67" t="s">
        <v>2192</v>
      </c>
      <c r="C246" s="67">
        <v>2</v>
      </c>
      <c r="D246" s="139">
        <v>0.007726656880506181</v>
      </c>
      <c r="E246" s="139">
        <v>2.162862993321926</v>
      </c>
      <c r="F246" s="67" t="s">
        <v>692</v>
      </c>
      <c r="G246" s="67" t="b">
        <v>0</v>
      </c>
      <c r="H246" s="67" t="b">
        <v>0</v>
      </c>
      <c r="I246" s="67" t="b">
        <v>0</v>
      </c>
      <c r="J246" s="67" t="b">
        <v>0</v>
      </c>
      <c r="K246" s="67" t="b">
        <v>0</v>
      </c>
      <c r="L246" s="67" t="b">
        <v>0</v>
      </c>
    </row>
    <row r="247" spans="1:12" ht="15">
      <c r="A247" s="136" t="s">
        <v>926</v>
      </c>
      <c r="B247" s="67" t="s">
        <v>958</v>
      </c>
      <c r="C247" s="67">
        <v>2</v>
      </c>
      <c r="D247" s="139">
        <v>0.007726656880506181</v>
      </c>
      <c r="E247" s="139">
        <v>1.141673694251988</v>
      </c>
      <c r="F247" s="67" t="s">
        <v>692</v>
      </c>
      <c r="G247" s="67" t="b">
        <v>0</v>
      </c>
      <c r="H247" s="67" t="b">
        <v>0</v>
      </c>
      <c r="I247" s="67" t="b">
        <v>0</v>
      </c>
      <c r="J247" s="67" t="b">
        <v>0</v>
      </c>
      <c r="K247" s="67" t="b">
        <v>0</v>
      </c>
      <c r="L247" s="67" t="b">
        <v>0</v>
      </c>
    </row>
    <row r="248" spans="1:12" ht="15">
      <c r="A248" s="136" t="s">
        <v>1806</v>
      </c>
      <c r="B248" s="67" t="s">
        <v>2153</v>
      </c>
      <c r="C248" s="67">
        <v>2</v>
      </c>
      <c r="D248" s="139">
        <v>0.007726656880506181</v>
      </c>
      <c r="E248" s="139">
        <v>1.6857417386022637</v>
      </c>
      <c r="F248" s="67" t="s">
        <v>692</v>
      </c>
      <c r="G248" s="67" t="b">
        <v>0</v>
      </c>
      <c r="H248" s="67" t="b">
        <v>0</v>
      </c>
      <c r="I248" s="67" t="b">
        <v>0</v>
      </c>
      <c r="J248" s="67" t="b">
        <v>0</v>
      </c>
      <c r="K248" s="67" t="b">
        <v>0</v>
      </c>
      <c r="L248" s="67" t="b">
        <v>0</v>
      </c>
    </row>
    <row r="249" spans="1:12" ht="15">
      <c r="A249" s="136" t="s">
        <v>2177</v>
      </c>
      <c r="B249" s="67" t="s">
        <v>2093</v>
      </c>
      <c r="C249" s="67">
        <v>2</v>
      </c>
      <c r="D249" s="139">
        <v>0.007726656880506181</v>
      </c>
      <c r="E249" s="139">
        <v>2.162862993321926</v>
      </c>
      <c r="F249" s="67" t="s">
        <v>692</v>
      </c>
      <c r="G249" s="67" t="b">
        <v>0</v>
      </c>
      <c r="H249" s="67" t="b">
        <v>0</v>
      </c>
      <c r="I249" s="67" t="b">
        <v>0</v>
      </c>
      <c r="J249" s="67" t="b">
        <v>0</v>
      </c>
      <c r="K249" s="67" t="b">
        <v>0</v>
      </c>
      <c r="L249" s="67" t="b">
        <v>0</v>
      </c>
    </row>
    <row r="250" spans="1:12" ht="15">
      <c r="A250" s="136" t="s">
        <v>2218</v>
      </c>
      <c r="B250" s="67" t="s">
        <v>2114</v>
      </c>
      <c r="C250" s="67">
        <v>2</v>
      </c>
      <c r="D250" s="139">
        <v>0.007726656880506181</v>
      </c>
      <c r="E250" s="139">
        <v>2.162862993321926</v>
      </c>
      <c r="F250" s="67" t="s">
        <v>692</v>
      </c>
      <c r="G250" s="67" t="b">
        <v>0</v>
      </c>
      <c r="H250" s="67" t="b">
        <v>0</v>
      </c>
      <c r="I250" s="67" t="b">
        <v>0</v>
      </c>
      <c r="J250" s="67" t="b">
        <v>0</v>
      </c>
      <c r="K250" s="67" t="b">
        <v>0</v>
      </c>
      <c r="L250" s="67" t="b">
        <v>0</v>
      </c>
    </row>
    <row r="251" spans="1:12" ht="15">
      <c r="A251" s="136" t="s">
        <v>2092</v>
      </c>
      <c r="B251" s="67" t="s">
        <v>2132</v>
      </c>
      <c r="C251" s="67">
        <v>2</v>
      </c>
      <c r="D251" s="139">
        <v>0.007726656880506181</v>
      </c>
      <c r="E251" s="139">
        <v>2.162862993321926</v>
      </c>
      <c r="F251" s="67" t="s">
        <v>692</v>
      </c>
      <c r="G251" s="67" t="b">
        <v>0</v>
      </c>
      <c r="H251" s="67" t="b">
        <v>0</v>
      </c>
      <c r="I251" s="67" t="b">
        <v>0</v>
      </c>
      <c r="J251" s="67" t="b">
        <v>0</v>
      </c>
      <c r="K251" s="67" t="b">
        <v>0</v>
      </c>
      <c r="L251" s="67" t="b">
        <v>0</v>
      </c>
    </row>
    <row r="252" spans="1:12" ht="15">
      <c r="A252" s="136" t="s">
        <v>1809</v>
      </c>
      <c r="B252" s="67" t="s">
        <v>2183</v>
      </c>
      <c r="C252" s="67">
        <v>2</v>
      </c>
      <c r="D252" s="139">
        <v>0.007726656880506181</v>
      </c>
      <c r="E252" s="139">
        <v>1.8618329976579449</v>
      </c>
      <c r="F252" s="67" t="s">
        <v>692</v>
      </c>
      <c r="G252" s="67" t="b">
        <v>0</v>
      </c>
      <c r="H252" s="67" t="b">
        <v>0</v>
      </c>
      <c r="I252" s="67" t="b">
        <v>0</v>
      </c>
      <c r="J252" s="67" t="b">
        <v>0</v>
      </c>
      <c r="K252" s="67" t="b">
        <v>0</v>
      </c>
      <c r="L252" s="67" t="b">
        <v>0</v>
      </c>
    </row>
    <row r="253" spans="1:12" ht="15">
      <c r="A253" s="136" t="s">
        <v>2124</v>
      </c>
      <c r="B253" s="67" t="s">
        <v>2190</v>
      </c>
      <c r="C253" s="67">
        <v>2</v>
      </c>
      <c r="D253" s="139">
        <v>0.007726656880506181</v>
      </c>
      <c r="E253" s="139">
        <v>2.162862993321926</v>
      </c>
      <c r="F253" s="67" t="s">
        <v>692</v>
      </c>
      <c r="G253" s="67" t="b">
        <v>0</v>
      </c>
      <c r="H253" s="67" t="b">
        <v>0</v>
      </c>
      <c r="I253" s="67" t="b">
        <v>0</v>
      </c>
      <c r="J253" s="67" t="b">
        <v>0</v>
      </c>
      <c r="K253" s="67" t="b">
        <v>0</v>
      </c>
      <c r="L253" s="67" t="b">
        <v>0</v>
      </c>
    </row>
    <row r="254" spans="1:12" ht="15">
      <c r="A254" s="136" t="s">
        <v>2115</v>
      </c>
      <c r="B254" s="67" t="s">
        <v>2206</v>
      </c>
      <c r="C254" s="67">
        <v>2</v>
      </c>
      <c r="D254" s="139">
        <v>0.007726656880506181</v>
      </c>
      <c r="E254" s="139">
        <v>2.162862993321926</v>
      </c>
      <c r="F254" s="67" t="s">
        <v>692</v>
      </c>
      <c r="G254" s="67" t="b">
        <v>0</v>
      </c>
      <c r="H254" s="67" t="b">
        <v>0</v>
      </c>
      <c r="I254" s="67" t="b">
        <v>0</v>
      </c>
      <c r="J254" s="67" t="b">
        <v>0</v>
      </c>
      <c r="K254" s="67" t="b">
        <v>0</v>
      </c>
      <c r="L254" s="67" t="b">
        <v>0</v>
      </c>
    </row>
    <row r="255" spans="1:12" ht="15">
      <c r="A255" s="136" t="s">
        <v>2221</v>
      </c>
      <c r="B255" s="67" t="s">
        <v>2198</v>
      </c>
      <c r="C255" s="67">
        <v>2</v>
      </c>
      <c r="D255" s="139">
        <v>0.007726656880506181</v>
      </c>
      <c r="E255" s="139">
        <v>2.162862993321926</v>
      </c>
      <c r="F255" s="67" t="s">
        <v>692</v>
      </c>
      <c r="G255" s="67" t="b">
        <v>0</v>
      </c>
      <c r="H255" s="67" t="b">
        <v>0</v>
      </c>
      <c r="I255" s="67" t="b">
        <v>0</v>
      </c>
      <c r="J255" s="67" t="b">
        <v>0</v>
      </c>
      <c r="K255" s="67" t="b">
        <v>0</v>
      </c>
      <c r="L255" s="67" t="b">
        <v>0</v>
      </c>
    </row>
    <row r="256" spans="1:12" ht="15">
      <c r="A256" s="136" t="s">
        <v>2183</v>
      </c>
      <c r="B256" s="67" t="s">
        <v>2205</v>
      </c>
      <c r="C256" s="67">
        <v>2</v>
      </c>
      <c r="D256" s="139">
        <v>0.007726656880506181</v>
      </c>
      <c r="E256" s="139">
        <v>2.162862993321926</v>
      </c>
      <c r="F256" s="67" t="s">
        <v>692</v>
      </c>
      <c r="G256" s="67" t="b">
        <v>0</v>
      </c>
      <c r="H256" s="67" t="b">
        <v>0</v>
      </c>
      <c r="I256" s="67" t="b">
        <v>0</v>
      </c>
      <c r="J256" s="67" t="b">
        <v>0</v>
      </c>
      <c r="K256" s="67" t="b">
        <v>0</v>
      </c>
      <c r="L256" s="67" t="b">
        <v>0</v>
      </c>
    </row>
    <row r="257" spans="1:12" ht="15">
      <c r="A257" s="136" t="s">
        <v>2178</v>
      </c>
      <c r="B257" s="67" t="s">
        <v>2147</v>
      </c>
      <c r="C257" s="67">
        <v>2</v>
      </c>
      <c r="D257" s="139">
        <v>0.007726656880506181</v>
      </c>
      <c r="E257" s="139">
        <v>2.162862993321926</v>
      </c>
      <c r="F257" s="67" t="s">
        <v>692</v>
      </c>
      <c r="G257" s="67" t="b">
        <v>0</v>
      </c>
      <c r="H257" s="67" t="b">
        <v>0</v>
      </c>
      <c r="I257" s="67" t="b">
        <v>0</v>
      </c>
      <c r="J257" s="67" t="b">
        <v>0</v>
      </c>
      <c r="K257" s="67" t="b">
        <v>0</v>
      </c>
      <c r="L257" s="67" t="b">
        <v>0</v>
      </c>
    </row>
    <row r="258" spans="1:12" ht="15">
      <c r="A258" s="136" t="s">
        <v>2114</v>
      </c>
      <c r="B258" s="67" t="s">
        <v>2118</v>
      </c>
      <c r="C258" s="67">
        <v>2</v>
      </c>
      <c r="D258" s="139">
        <v>0.007726656880506181</v>
      </c>
      <c r="E258" s="139">
        <v>2.162862993321926</v>
      </c>
      <c r="F258" s="67" t="s">
        <v>692</v>
      </c>
      <c r="G258" s="67" t="b">
        <v>0</v>
      </c>
      <c r="H258" s="67" t="b">
        <v>0</v>
      </c>
      <c r="I258" s="67" t="b">
        <v>0</v>
      </c>
      <c r="J258" s="67" t="b">
        <v>0</v>
      </c>
      <c r="K258" s="67" t="b">
        <v>0</v>
      </c>
      <c r="L258" s="67" t="b">
        <v>0</v>
      </c>
    </row>
    <row r="259" spans="1:12" ht="15">
      <c r="A259" s="136" t="s">
        <v>2206</v>
      </c>
      <c r="B259" s="67" t="s">
        <v>2121</v>
      </c>
      <c r="C259" s="67">
        <v>2</v>
      </c>
      <c r="D259" s="139">
        <v>0.007726656880506181</v>
      </c>
      <c r="E259" s="139">
        <v>2.162862993321926</v>
      </c>
      <c r="F259" s="67" t="s">
        <v>692</v>
      </c>
      <c r="G259" s="67" t="b">
        <v>0</v>
      </c>
      <c r="H259" s="67" t="b">
        <v>0</v>
      </c>
      <c r="I259" s="67" t="b">
        <v>0</v>
      </c>
      <c r="J259" s="67" t="b">
        <v>0</v>
      </c>
      <c r="K259" s="67" t="b">
        <v>0</v>
      </c>
      <c r="L259" s="67" t="b">
        <v>0</v>
      </c>
    </row>
    <row r="260" spans="1:12" ht="15">
      <c r="A260" s="136" t="s">
        <v>2137</v>
      </c>
      <c r="B260" s="67" t="s">
        <v>2151</v>
      </c>
      <c r="C260" s="67">
        <v>2</v>
      </c>
      <c r="D260" s="139">
        <v>0.007726656880506181</v>
      </c>
      <c r="E260" s="139">
        <v>2.162862993321926</v>
      </c>
      <c r="F260" s="67" t="s">
        <v>692</v>
      </c>
      <c r="G260" s="67" t="b">
        <v>0</v>
      </c>
      <c r="H260" s="67" t="b">
        <v>0</v>
      </c>
      <c r="I260" s="67" t="b">
        <v>0</v>
      </c>
      <c r="J260" s="67" t="b">
        <v>0</v>
      </c>
      <c r="K260" s="67" t="b">
        <v>0</v>
      </c>
      <c r="L260" s="67" t="b">
        <v>0</v>
      </c>
    </row>
    <row r="261" spans="1:12" ht="15">
      <c r="A261" s="136" t="s">
        <v>2099</v>
      </c>
      <c r="B261" s="67" t="s">
        <v>2127</v>
      </c>
      <c r="C261" s="67">
        <v>2</v>
      </c>
      <c r="D261" s="139">
        <v>0.007726656880506181</v>
      </c>
      <c r="E261" s="139">
        <v>2.162862993321926</v>
      </c>
      <c r="F261" s="67" t="s">
        <v>692</v>
      </c>
      <c r="G261" s="67" t="b">
        <v>0</v>
      </c>
      <c r="H261" s="67" t="b">
        <v>0</v>
      </c>
      <c r="I261" s="67" t="b">
        <v>0</v>
      </c>
      <c r="J261" s="67" t="b">
        <v>0</v>
      </c>
      <c r="K261" s="67" t="b">
        <v>0</v>
      </c>
      <c r="L261" s="67" t="b">
        <v>0</v>
      </c>
    </row>
    <row r="262" spans="1:12" ht="15">
      <c r="A262" s="136" t="s">
        <v>1807</v>
      </c>
      <c r="B262" s="67" t="s">
        <v>2157</v>
      </c>
      <c r="C262" s="67">
        <v>2</v>
      </c>
      <c r="D262" s="139">
        <v>0.007726656880506181</v>
      </c>
      <c r="E262" s="139">
        <v>1.8618329976579449</v>
      </c>
      <c r="F262" s="67" t="s">
        <v>692</v>
      </c>
      <c r="G262" s="67" t="b">
        <v>0</v>
      </c>
      <c r="H262" s="67" t="b">
        <v>0</v>
      </c>
      <c r="I262" s="67" t="b">
        <v>0</v>
      </c>
      <c r="J262" s="67" t="b">
        <v>0</v>
      </c>
      <c r="K262" s="67" t="b">
        <v>0</v>
      </c>
      <c r="L262" s="67" t="b">
        <v>0</v>
      </c>
    </row>
    <row r="263" spans="1:12" ht="15">
      <c r="A263" s="136" t="s">
        <v>2164</v>
      </c>
      <c r="B263" s="67" t="s">
        <v>1804</v>
      </c>
      <c r="C263" s="67">
        <v>2</v>
      </c>
      <c r="D263" s="139">
        <v>0.007726656880506181</v>
      </c>
      <c r="E263" s="139">
        <v>1.6187949489716504</v>
      </c>
      <c r="F263" s="67" t="s">
        <v>692</v>
      </c>
      <c r="G263" s="67" t="b">
        <v>0</v>
      </c>
      <c r="H263" s="67" t="b">
        <v>0</v>
      </c>
      <c r="I263" s="67" t="b">
        <v>0</v>
      </c>
      <c r="J263" s="67" t="b">
        <v>0</v>
      </c>
      <c r="K263" s="67" t="b">
        <v>0</v>
      </c>
      <c r="L263" s="67" t="b">
        <v>0</v>
      </c>
    </row>
    <row r="264" spans="1:12" ht="15">
      <c r="A264" s="136" t="s">
        <v>2132</v>
      </c>
      <c r="B264" s="67" t="s">
        <v>2069</v>
      </c>
      <c r="C264" s="67">
        <v>2</v>
      </c>
      <c r="D264" s="139">
        <v>0.007726656880506181</v>
      </c>
      <c r="E264" s="139">
        <v>2.162862993321926</v>
      </c>
      <c r="F264" s="67" t="s">
        <v>692</v>
      </c>
      <c r="G264" s="67" t="b">
        <v>0</v>
      </c>
      <c r="H264" s="67" t="b">
        <v>0</v>
      </c>
      <c r="I264" s="67" t="b">
        <v>0</v>
      </c>
      <c r="J264" s="67" t="b">
        <v>0</v>
      </c>
      <c r="K264" s="67" t="b">
        <v>0</v>
      </c>
      <c r="L264" s="67" t="b">
        <v>0</v>
      </c>
    </row>
    <row r="265" spans="1:12" ht="15">
      <c r="A265" s="136" t="s">
        <v>2101</v>
      </c>
      <c r="B265" s="67" t="s">
        <v>2201</v>
      </c>
      <c r="C265" s="67">
        <v>2</v>
      </c>
      <c r="D265" s="139">
        <v>0.007726656880506181</v>
      </c>
      <c r="E265" s="139">
        <v>2.162862993321926</v>
      </c>
      <c r="F265" s="67" t="s">
        <v>692</v>
      </c>
      <c r="G265" s="67" t="b">
        <v>0</v>
      </c>
      <c r="H265" s="67" t="b">
        <v>0</v>
      </c>
      <c r="I265" s="67" t="b">
        <v>0</v>
      </c>
      <c r="J265" s="67" t="b">
        <v>0</v>
      </c>
      <c r="K265" s="67" t="b">
        <v>0</v>
      </c>
      <c r="L265" s="67" t="b">
        <v>0</v>
      </c>
    </row>
    <row r="266" spans="1:12" ht="15">
      <c r="A266" s="136" t="s">
        <v>2168</v>
      </c>
      <c r="B266" s="67" t="s">
        <v>1808</v>
      </c>
      <c r="C266" s="67">
        <v>2</v>
      </c>
      <c r="D266" s="139">
        <v>0.007726656880506181</v>
      </c>
      <c r="E266" s="139">
        <v>1.8618329976579449</v>
      </c>
      <c r="F266" s="67" t="s">
        <v>692</v>
      </c>
      <c r="G266" s="67" t="b">
        <v>0</v>
      </c>
      <c r="H266" s="67" t="b">
        <v>0</v>
      </c>
      <c r="I266" s="67" t="b">
        <v>0</v>
      </c>
      <c r="J266" s="67" t="b">
        <v>0</v>
      </c>
      <c r="K266" s="67" t="b">
        <v>0</v>
      </c>
      <c r="L266" s="67" t="b">
        <v>0</v>
      </c>
    </row>
    <row r="267" spans="1:12" ht="15">
      <c r="A267" s="136" t="s">
        <v>2233</v>
      </c>
      <c r="B267" s="67" t="s">
        <v>2112</v>
      </c>
      <c r="C267" s="67">
        <v>2</v>
      </c>
      <c r="D267" s="139">
        <v>0.007726656880506181</v>
      </c>
      <c r="E267" s="139">
        <v>2.162862993321926</v>
      </c>
      <c r="F267" s="67" t="s">
        <v>692</v>
      </c>
      <c r="G267" s="67" t="b">
        <v>0</v>
      </c>
      <c r="H267" s="67" t="b">
        <v>0</v>
      </c>
      <c r="I267" s="67" t="b">
        <v>0</v>
      </c>
      <c r="J267" s="67" t="b">
        <v>0</v>
      </c>
      <c r="K267" s="67" t="b">
        <v>0</v>
      </c>
      <c r="L267" s="67" t="b">
        <v>0</v>
      </c>
    </row>
    <row r="268" spans="1:12" ht="15">
      <c r="A268" s="136" t="s">
        <v>2202</v>
      </c>
      <c r="B268" s="67" t="s">
        <v>2189</v>
      </c>
      <c r="C268" s="67">
        <v>2</v>
      </c>
      <c r="D268" s="139">
        <v>0.007726656880506181</v>
      </c>
      <c r="E268" s="139">
        <v>2.162862993321926</v>
      </c>
      <c r="F268" s="67" t="s">
        <v>692</v>
      </c>
      <c r="G268" s="67" t="b">
        <v>0</v>
      </c>
      <c r="H268" s="67" t="b">
        <v>0</v>
      </c>
      <c r="I268" s="67" t="b">
        <v>0</v>
      </c>
      <c r="J268" s="67" t="b">
        <v>0</v>
      </c>
      <c r="K268" s="67" t="b">
        <v>0</v>
      </c>
      <c r="L268" s="67" t="b">
        <v>0</v>
      </c>
    </row>
    <row r="269" spans="1:12" ht="15">
      <c r="A269" s="136" t="s">
        <v>2181</v>
      </c>
      <c r="B269" s="67" t="s">
        <v>2228</v>
      </c>
      <c r="C269" s="67">
        <v>2</v>
      </c>
      <c r="D269" s="139">
        <v>0.007726656880506181</v>
      </c>
      <c r="E269" s="139">
        <v>2.162862993321926</v>
      </c>
      <c r="F269" s="67" t="s">
        <v>692</v>
      </c>
      <c r="G269" s="67" t="b">
        <v>0</v>
      </c>
      <c r="H269" s="67" t="b">
        <v>0</v>
      </c>
      <c r="I269" s="67" t="b">
        <v>0</v>
      </c>
      <c r="J269" s="67" t="b">
        <v>0</v>
      </c>
      <c r="K269" s="67" t="b">
        <v>0</v>
      </c>
      <c r="L269" s="67" t="b">
        <v>0</v>
      </c>
    </row>
    <row r="270" spans="1:12" ht="15">
      <c r="A270" s="136" t="s">
        <v>2098</v>
      </c>
      <c r="B270" s="67" t="s">
        <v>2218</v>
      </c>
      <c r="C270" s="67">
        <v>2</v>
      </c>
      <c r="D270" s="139">
        <v>0.007726656880506181</v>
      </c>
      <c r="E270" s="139">
        <v>2.162862993321926</v>
      </c>
      <c r="F270" s="67" t="s">
        <v>692</v>
      </c>
      <c r="G270" s="67" t="b">
        <v>0</v>
      </c>
      <c r="H270" s="67" t="b">
        <v>0</v>
      </c>
      <c r="I270" s="67" t="b">
        <v>0</v>
      </c>
      <c r="J270" s="67" t="b">
        <v>0</v>
      </c>
      <c r="K270" s="67" t="b">
        <v>0</v>
      </c>
      <c r="L270" s="67" t="b">
        <v>0</v>
      </c>
    </row>
    <row r="271" spans="1:12" ht="15">
      <c r="A271" s="136" t="s">
        <v>2110</v>
      </c>
      <c r="B271" s="67" t="s">
        <v>2193</v>
      </c>
      <c r="C271" s="67">
        <v>2</v>
      </c>
      <c r="D271" s="139">
        <v>0.007726656880506181</v>
      </c>
      <c r="E271" s="139">
        <v>2.162862993321926</v>
      </c>
      <c r="F271" s="67" t="s">
        <v>692</v>
      </c>
      <c r="G271" s="67" t="b">
        <v>0</v>
      </c>
      <c r="H271" s="67" t="b">
        <v>0</v>
      </c>
      <c r="I271" s="67" t="b">
        <v>0</v>
      </c>
      <c r="J271" s="67" t="b">
        <v>0</v>
      </c>
      <c r="K271" s="67" t="b">
        <v>0</v>
      </c>
      <c r="L271" s="67" t="b">
        <v>0</v>
      </c>
    </row>
    <row r="272" spans="1:12" ht="15">
      <c r="A272" s="136" t="s">
        <v>929</v>
      </c>
      <c r="B272" s="67" t="s">
        <v>1809</v>
      </c>
      <c r="C272" s="67">
        <v>2</v>
      </c>
      <c r="D272" s="139">
        <v>0.007726656880506181</v>
      </c>
      <c r="E272" s="139">
        <v>1.6857417386022637</v>
      </c>
      <c r="F272" s="67" t="s">
        <v>692</v>
      </c>
      <c r="G272" s="67" t="b">
        <v>0</v>
      </c>
      <c r="H272" s="67" t="b">
        <v>0</v>
      </c>
      <c r="I272" s="67" t="b">
        <v>0</v>
      </c>
      <c r="J272" s="67" t="b">
        <v>0</v>
      </c>
      <c r="K272" s="67" t="b">
        <v>0</v>
      </c>
      <c r="L272" s="67" t="b">
        <v>0</v>
      </c>
    </row>
    <row r="273" spans="1:12" ht="15">
      <c r="A273" s="136" t="s">
        <v>2182</v>
      </c>
      <c r="B273" s="67" t="s">
        <v>2159</v>
      </c>
      <c r="C273" s="67">
        <v>2</v>
      </c>
      <c r="D273" s="139">
        <v>0.007726656880506181</v>
      </c>
      <c r="E273" s="139">
        <v>2.162862993321926</v>
      </c>
      <c r="F273" s="67" t="s">
        <v>692</v>
      </c>
      <c r="G273" s="67" t="b">
        <v>0</v>
      </c>
      <c r="H273" s="67" t="b">
        <v>0</v>
      </c>
      <c r="I273" s="67" t="b">
        <v>0</v>
      </c>
      <c r="J273" s="67" t="b">
        <v>0</v>
      </c>
      <c r="K273" s="67" t="b">
        <v>0</v>
      </c>
      <c r="L273" s="67" t="b">
        <v>0</v>
      </c>
    </row>
    <row r="274" spans="1:12" ht="15">
      <c r="A274" s="136" t="s">
        <v>2184</v>
      </c>
      <c r="B274" s="67" t="s">
        <v>2113</v>
      </c>
      <c r="C274" s="67">
        <v>2</v>
      </c>
      <c r="D274" s="139">
        <v>0.007726656880506181</v>
      </c>
      <c r="E274" s="139">
        <v>2.162862993321926</v>
      </c>
      <c r="F274" s="67" t="s">
        <v>692</v>
      </c>
      <c r="G274" s="67" t="b">
        <v>0</v>
      </c>
      <c r="H274" s="67" t="b">
        <v>0</v>
      </c>
      <c r="I274" s="67" t="b">
        <v>0</v>
      </c>
      <c r="J274" s="67" t="b">
        <v>0</v>
      </c>
      <c r="K274" s="67" t="b">
        <v>0</v>
      </c>
      <c r="L274" s="67" t="b">
        <v>0</v>
      </c>
    </row>
    <row r="275" spans="1:12" ht="15">
      <c r="A275" s="136" t="s">
        <v>2201</v>
      </c>
      <c r="B275" s="67" t="s">
        <v>2195</v>
      </c>
      <c r="C275" s="67">
        <v>2</v>
      </c>
      <c r="D275" s="139">
        <v>0.007726656880506181</v>
      </c>
      <c r="E275" s="139">
        <v>2.162862993321926</v>
      </c>
      <c r="F275" s="67" t="s">
        <v>692</v>
      </c>
      <c r="G275" s="67" t="b">
        <v>0</v>
      </c>
      <c r="H275" s="67" t="b">
        <v>0</v>
      </c>
      <c r="I275" s="67" t="b">
        <v>0</v>
      </c>
      <c r="J275" s="67" t="b">
        <v>0</v>
      </c>
      <c r="K275" s="67" t="b">
        <v>0</v>
      </c>
      <c r="L275" s="67" t="b">
        <v>0</v>
      </c>
    </row>
    <row r="276" spans="1:12" ht="15">
      <c r="A276" s="136" t="s">
        <v>2079</v>
      </c>
      <c r="B276" s="67" t="s">
        <v>2186</v>
      </c>
      <c r="C276" s="67">
        <v>2</v>
      </c>
      <c r="D276" s="139">
        <v>0.007726656880506181</v>
      </c>
      <c r="E276" s="139">
        <v>2.162862993321926</v>
      </c>
      <c r="F276" s="67" t="s">
        <v>692</v>
      </c>
      <c r="G276" s="67" t="b">
        <v>0</v>
      </c>
      <c r="H276" s="67" t="b">
        <v>0</v>
      </c>
      <c r="I276" s="67" t="b">
        <v>0</v>
      </c>
      <c r="J276" s="67" t="b">
        <v>0</v>
      </c>
      <c r="K276" s="67" t="b">
        <v>0</v>
      </c>
      <c r="L276" s="67" t="b">
        <v>0</v>
      </c>
    </row>
    <row r="277" spans="1:12" ht="15">
      <c r="A277" s="136" t="s">
        <v>2150</v>
      </c>
      <c r="B277" s="67" t="s">
        <v>2188</v>
      </c>
      <c r="C277" s="67">
        <v>2</v>
      </c>
      <c r="D277" s="139">
        <v>0.007726656880506181</v>
      </c>
      <c r="E277" s="139">
        <v>2.162862993321926</v>
      </c>
      <c r="F277" s="67" t="s">
        <v>692</v>
      </c>
      <c r="G277" s="67" t="b">
        <v>0</v>
      </c>
      <c r="H277" s="67" t="b">
        <v>0</v>
      </c>
      <c r="I277" s="67" t="b">
        <v>0</v>
      </c>
      <c r="J277" s="67" t="b">
        <v>0</v>
      </c>
      <c r="K277" s="67" t="b">
        <v>0</v>
      </c>
      <c r="L277" s="67" t="b">
        <v>0</v>
      </c>
    </row>
    <row r="278" spans="1:12" ht="15">
      <c r="A278" s="136" t="s">
        <v>2205</v>
      </c>
      <c r="B278" s="67" t="s">
        <v>2102</v>
      </c>
      <c r="C278" s="67">
        <v>2</v>
      </c>
      <c r="D278" s="139">
        <v>0.007726656880506181</v>
      </c>
      <c r="E278" s="139">
        <v>2.162862993321926</v>
      </c>
      <c r="F278" s="67" t="s">
        <v>692</v>
      </c>
      <c r="G278" s="67" t="b">
        <v>0</v>
      </c>
      <c r="H278" s="67" t="b">
        <v>0</v>
      </c>
      <c r="I278" s="67" t="b">
        <v>0</v>
      </c>
      <c r="J278" s="67" t="b">
        <v>0</v>
      </c>
      <c r="K278" s="67" t="b">
        <v>0</v>
      </c>
      <c r="L278" s="67" t="b">
        <v>0</v>
      </c>
    </row>
    <row r="279" spans="1:12" ht="15">
      <c r="A279" s="136" t="s">
        <v>2194</v>
      </c>
      <c r="B279" s="67" t="s">
        <v>2115</v>
      </c>
      <c r="C279" s="67">
        <v>2</v>
      </c>
      <c r="D279" s="139">
        <v>0.007726656880506181</v>
      </c>
      <c r="E279" s="139">
        <v>2.162862993321926</v>
      </c>
      <c r="F279" s="67" t="s">
        <v>692</v>
      </c>
      <c r="G279" s="67" t="b">
        <v>0</v>
      </c>
      <c r="H279" s="67" t="b">
        <v>0</v>
      </c>
      <c r="I279" s="67" t="b">
        <v>0</v>
      </c>
      <c r="J279" s="67" t="b">
        <v>0</v>
      </c>
      <c r="K279" s="67" t="b">
        <v>0</v>
      </c>
      <c r="L279" s="67" t="b">
        <v>0</v>
      </c>
    </row>
    <row r="280" spans="1:12" ht="15">
      <c r="A280" s="136" t="s">
        <v>1806</v>
      </c>
      <c r="B280" s="67" t="s">
        <v>2182</v>
      </c>
      <c r="C280" s="67">
        <v>2</v>
      </c>
      <c r="D280" s="139">
        <v>0.007726656880506181</v>
      </c>
      <c r="E280" s="139">
        <v>1.6857417386022637</v>
      </c>
      <c r="F280" s="67" t="s">
        <v>692</v>
      </c>
      <c r="G280" s="67" t="b">
        <v>0</v>
      </c>
      <c r="H280" s="67" t="b">
        <v>0</v>
      </c>
      <c r="I280" s="67" t="b">
        <v>0</v>
      </c>
      <c r="J280" s="67" t="b">
        <v>0</v>
      </c>
      <c r="K280" s="67" t="b">
        <v>0</v>
      </c>
      <c r="L280" s="67" t="b">
        <v>0</v>
      </c>
    </row>
    <row r="281" spans="1:12" ht="15">
      <c r="A281" s="136" t="s">
        <v>2170</v>
      </c>
      <c r="B281" s="67" t="s">
        <v>2068</v>
      </c>
      <c r="C281" s="67">
        <v>2</v>
      </c>
      <c r="D281" s="139">
        <v>0.007726656880506181</v>
      </c>
      <c r="E281" s="139">
        <v>2.162862993321926</v>
      </c>
      <c r="F281" s="67" t="s">
        <v>692</v>
      </c>
      <c r="G281" s="67" t="b">
        <v>0</v>
      </c>
      <c r="H281" s="67" t="b">
        <v>0</v>
      </c>
      <c r="I281" s="67" t="b">
        <v>0</v>
      </c>
      <c r="J281" s="67" t="b">
        <v>0</v>
      </c>
      <c r="K281" s="67" t="b">
        <v>0</v>
      </c>
      <c r="L281" s="67" t="b">
        <v>0</v>
      </c>
    </row>
    <row r="282" spans="1:12" ht="15">
      <c r="A282" s="136" t="s">
        <v>2112</v>
      </c>
      <c r="B282" s="67" t="s">
        <v>2207</v>
      </c>
      <c r="C282" s="67">
        <v>2</v>
      </c>
      <c r="D282" s="139">
        <v>0.007726656880506181</v>
      </c>
      <c r="E282" s="139">
        <v>2.162862993321926</v>
      </c>
      <c r="F282" s="67" t="s">
        <v>692</v>
      </c>
      <c r="G282" s="67" t="b">
        <v>0</v>
      </c>
      <c r="H282" s="67" t="b">
        <v>0</v>
      </c>
      <c r="I282" s="67" t="b">
        <v>0</v>
      </c>
      <c r="J282" s="67" t="b">
        <v>0</v>
      </c>
      <c r="K282" s="67" t="b">
        <v>0</v>
      </c>
      <c r="L282" s="67" t="b">
        <v>0</v>
      </c>
    </row>
    <row r="283" spans="1:12" ht="15">
      <c r="A283" s="136" t="s">
        <v>2179</v>
      </c>
      <c r="B283" s="67" t="s">
        <v>2107</v>
      </c>
      <c r="C283" s="67">
        <v>2</v>
      </c>
      <c r="D283" s="139">
        <v>0.007726656880506181</v>
      </c>
      <c r="E283" s="139">
        <v>2.162862993321926</v>
      </c>
      <c r="F283" s="67" t="s">
        <v>692</v>
      </c>
      <c r="G283" s="67" t="b">
        <v>0</v>
      </c>
      <c r="H283" s="67" t="b">
        <v>0</v>
      </c>
      <c r="I283" s="67" t="b">
        <v>0</v>
      </c>
      <c r="J283" s="67" t="b">
        <v>0</v>
      </c>
      <c r="K283" s="67" t="b">
        <v>0</v>
      </c>
      <c r="L283" s="67" t="b">
        <v>0</v>
      </c>
    </row>
    <row r="284" spans="1:12" ht="15">
      <c r="A284" s="136" t="s">
        <v>1809</v>
      </c>
      <c r="B284" s="67" t="s">
        <v>2184</v>
      </c>
      <c r="C284" s="67">
        <v>2</v>
      </c>
      <c r="D284" s="139">
        <v>0.007726656880506181</v>
      </c>
      <c r="E284" s="139">
        <v>1.8618329976579449</v>
      </c>
      <c r="F284" s="67" t="s">
        <v>692</v>
      </c>
      <c r="G284" s="67" t="b">
        <v>0</v>
      </c>
      <c r="H284" s="67" t="b">
        <v>0</v>
      </c>
      <c r="I284" s="67" t="b">
        <v>0</v>
      </c>
      <c r="J284" s="67" t="b">
        <v>0</v>
      </c>
      <c r="K284" s="67" t="b">
        <v>0</v>
      </c>
      <c r="L284" s="67" t="b">
        <v>0</v>
      </c>
    </row>
    <row r="285" spans="1:12" ht="15">
      <c r="A285" s="136" t="s">
        <v>2223</v>
      </c>
      <c r="B285" s="67" t="s">
        <v>2117</v>
      </c>
      <c r="C285" s="67">
        <v>2</v>
      </c>
      <c r="D285" s="139">
        <v>0.007726656880506181</v>
      </c>
      <c r="E285" s="139">
        <v>2.162862993321926</v>
      </c>
      <c r="F285" s="67" t="s">
        <v>692</v>
      </c>
      <c r="G285" s="67" t="b">
        <v>0</v>
      </c>
      <c r="H285" s="67" t="b">
        <v>0</v>
      </c>
      <c r="I285" s="67" t="b">
        <v>0</v>
      </c>
      <c r="J285" s="67" t="b">
        <v>0</v>
      </c>
      <c r="K285" s="67" t="b">
        <v>0</v>
      </c>
      <c r="L285" s="67" t="b">
        <v>0</v>
      </c>
    </row>
    <row r="286" spans="1:12" ht="15">
      <c r="A286" s="136" t="s">
        <v>2116</v>
      </c>
      <c r="B286" s="67" t="s">
        <v>2059</v>
      </c>
      <c r="C286" s="67">
        <v>2</v>
      </c>
      <c r="D286" s="139">
        <v>0.007726656880506181</v>
      </c>
      <c r="E286" s="139">
        <v>2.162862993321926</v>
      </c>
      <c r="F286" s="67" t="s">
        <v>692</v>
      </c>
      <c r="G286" s="67" t="b">
        <v>0</v>
      </c>
      <c r="H286" s="67" t="b">
        <v>0</v>
      </c>
      <c r="I286" s="67" t="b">
        <v>0</v>
      </c>
      <c r="J286" s="67" t="b">
        <v>0</v>
      </c>
      <c r="K286" s="67" t="b">
        <v>0</v>
      </c>
      <c r="L286" s="67" t="b">
        <v>0</v>
      </c>
    </row>
    <row r="287" spans="1:12" ht="15">
      <c r="A287" s="136" t="s">
        <v>2065</v>
      </c>
      <c r="B287" s="67" t="s">
        <v>2174</v>
      </c>
      <c r="C287" s="67">
        <v>2</v>
      </c>
      <c r="D287" s="139">
        <v>0.007726656880506181</v>
      </c>
      <c r="E287" s="139">
        <v>2.162862993321926</v>
      </c>
      <c r="F287" s="67" t="s">
        <v>692</v>
      </c>
      <c r="G287" s="67" t="b">
        <v>0</v>
      </c>
      <c r="H287" s="67" t="b">
        <v>0</v>
      </c>
      <c r="I287" s="67" t="b">
        <v>0</v>
      </c>
      <c r="J287" s="67" t="b">
        <v>0</v>
      </c>
      <c r="K287" s="67" t="b">
        <v>0</v>
      </c>
      <c r="L287" s="67" t="b">
        <v>0</v>
      </c>
    </row>
    <row r="288" spans="1:12" ht="15">
      <c r="A288" s="136" t="s">
        <v>2102</v>
      </c>
      <c r="B288" s="67" t="s">
        <v>2097</v>
      </c>
      <c r="C288" s="67">
        <v>2</v>
      </c>
      <c r="D288" s="139">
        <v>0.007726656880506181</v>
      </c>
      <c r="E288" s="139">
        <v>2.162862993321926</v>
      </c>
      <c r="F288" s="67" t="s">
        <v>692</v>
      </c>
      <c r="G288" s="67" t="b">
        <v>0</v>
      </c>
      <c r="H288" s="67" t="b">
        <v>0</v>
      </c>
      <c r="I288" s="67" t="b">
        <v>0</v>
      </c>
      <c r="J288" s="67" t="b">
        <v>0</v>
      </c>
      <c r="K288" s="67" t="b">
        <v>0</v>
      </c>
      <c r="L288" s="67" t="b">
        <v>0</v>
      </c>
    </row>
    <row r="289" spans="1:12" ht="15">
      <c r="A289" s="136" t="s">
        <v>2197</v>
      </c>
      <c r="B289" s="67" t="s">
        <v>1807</v>
      </c>
      <c r="C289" s="67">
        <v>2</v>
      </c>
      <c r="D289" s="139">
        <v>0.007726656880506181</v>
      </c>
      <c r="E289" s="139">
        <v>1.8618329976579449</v>
      </c>
      <c r="F289" s="67" t="s">
        <v>692</v>
      </c>
      <c r="G289" s="67" t="b">
        <v>0</v>
      </c>
      <c r="H289" s="67" t="b">
        <v>0</v>
      </c>
      <c r="I289" s="67" t="b">
        <v>0</v>
      </c>
      <c r="J289" s="67" t="b">
        <v>0</v>
      </c>
      <c r="K289" s="67" t="b">
        <v>0</v>
      </c>
      <c r="L289" s="67" t="b">
        <v>0</v>
      </c>
    </row>
    <row r="290" spans="1:12" ht="15">
      <c r="A290" s="136" t="s">
        <v>2222</v>
      </c>
      <c r="B290" s="67" t="s">
        <v>2143</v>
      </c>
      <c r="C290" s="67">
        <v>2</v>
      </c>
      <c r="D290" s="139">
        <v>0.007726656880506181</v>
      </c>
      <c r="E290" s="139">
        <v>2.162862993321926</v>
      </c>
      <c r="F290" s="67" t="s">
        <v>692</v>
      </c>
      <c r="G290" s="67" t="b">
        <v>0</v>
      </c>
      <c r="H290" s="67" t="b">
        <v>0</v>
      </c>
      <c r="I290" s="67" t="b">
        <v>0</v>
      </c>
      <c r="J290" s="67" t="b">
        <v>0</v>
      </c>
      <c r="K290" s="67" t="b">
        <v>0</v>
      </c>
      <c r="L290" s="67" t="b">
        <v>0</v>
      </c>
    </row>
    <row r="291" spans="1:12" ht="15">
      <c r="A291" s="136" t="s">
        <v>2167</v>
      </c>
      <c r="B291" s="67" t="s">
        <v>1807</v>
      </c>
      <c r="C291" s="67">
        <v>2</v>
      </c>
      <c r="D291" s="139">
        <v>0.007726656880506181</v>
      </c>
      <c r="E291" s="139">
        <v>1.8618329976579449</v>
      </c>
      <c r="F291" s="67" t="s">
        <v>692</v>
      </c>
      <c r="G291" s="67" t="b">
        <v>0</v>
      </c>
      <c r="H291" s="67" t="b">
        <v>0</v>
      </c>
      <c r="I291" s="67" t="b">
        <v>0</v>
      </c>
      <c r="J291" s="67" t="b">
        <v>0</v>
      </c>
      <c r="K291" s="67" t="b">
        <v>0</v>
      </c>
      <c r="L291" s="67" t="b">
        <v>0</v>
      </c>
    </row>
    <row r="292" spans="1:12" ht="15">
      <c r="A292" s="136" t="s">
        <v>2082</v>
      </c>
      <c r="B292" s="67" t="s">
        <v>2141</v>
      </c>
      <c r="C292" s="67">
        <v>2</v>
      </c>
      <c r="D292" s="139">
        <v>0.007726656880506181</v>
      </c>
      <c r="E292" s="139">
        <v>2.162862993321926</v>
      </c>
      <c r="F292" s="67" t="s">
        <v>692</v>
      </c>
      <c r="G292" s="67" t="b">
        <v>0</v>
      </c>
      <c r="H292" s="67" t="b">
        <v>0</v>
      </c>
      <c r="I292" s="67" t="b">
        <v>0</v>
      </c>
      <c r="J292" s="67" t="b">
        <v>0</v>
      </c>
      <c r="K292" s="67" t="b">
        <v>0</v>
      </c>
      <c r="L292" s="67" t="b">
        <v>0</v>
      </c>
    </row>
    <row r="293" spans="1:12" ht="15">
      <c r="A293" s="136" t="s">
        <v>2057</v>
      </c>
      <c r="B293" s="67" t="s">
        <v>2168</v>
      </c>
      <c r="C293" s="67">
        <v>2</v>
      </c>
      <c r="D293" s="139">
        <v>0.007726656880506181</v>
      </c>
      <c r="E293" s="139">
        <v>2.162862993321926</v>
      </c>
      <c r="F293" s="67" t="s">
        <v>692</v>
      </c>
      <c r="G293" s="67" t="b">
        <v>0</v>
      </c>
      <c r="H293" s="67" t="b">
        <v>0</v>
      </c>
      <c r="I293" s="67" t="b">
        <v>0</v>
      </c>
      <c r="J293" s="67" t="b">
        <v>0</v>
      </c>
      <c r="K293" s="67" t="b">
        <v>0</v>
      </c>
      <c r="L293" s="67" t="b">
        <v>0</v>
      </c>
    </row>
    <row r="294" spans="1:12" ht="15">
      <c r="A294" s="136" t="s">
        <v>2117</v>
      </c>
      <c r="B294" s="67" t="s">
        <v>2154</v>
      </c>
      <c r="C294" s="67">
        <v>2</v>
      </c>
      <c r="D294" s="139">
        <v>0.007726656880506181</v>
      </c>
      <c r="E294" s="139">
        <v>2.162862993321926</v>
      </c>
      <c r="F294" s="67" t="s">
        <v>692</v>
      </c>
      <c r="G294" s="67" t="b">
        <v>0</v>
      </c>
      <c r="H294" s="67" t="b">
        <v>0</v>
      </c>
      <c r="I294" s="67" t="b">
        <v>0</v>
      </c>
      <c r="J294" s="67" t="b">
        <v>0</v>
      </c>
      <c r="K294" s="67" t="b">
        <v>0</v>
      </c>
      <c r="L294" s="67" t="b">
        <v>0</v>
      </c>
    </row>
    <row r="295" spans="1:12" ht="15">
      <c r="A295" s="136" t="s">
        <v>2165</v>
      </c>
      <c r="B295" s="67" t="s">
        <v>2088</v>
      </c>
      <c r="C295" s="67">
        <v>2</v>
      </c>
      <c r="D295" s="139">
        <v>0.007726656880506181</v>
      </c>
      <c r="E295" s="139">
        <v>2.162862993321926</v>
      </c>
      <c r="F295" s="67" t="s">
        <v>692</v>
      </c>
      <c r="G295" s="67" t="b">
        <v>0</v>
      </c>
      <c r="H295" s="67" t="b">
        <v>0</v>
      </c>
      <c r="I295" s="67" t="b">
        <v>0</v>
      </c>
      <c r="J295" s="67" t="b">
        <v>0</v>
      </c>
      <c r="K295" s="67" t="b">
        <v>0</v>
      </c>
      <c r="L295" s="67" t="b">
        <v>0</v>
      </c>
    </row>
    <row r="296" spans="1:12" ht="15">
      <c r="A296" s="136" t="s">
        <v>2157</v>
      </c>
      <c r="B296" s="67" t="s">
        <v>2134</v>
      </c>
      <c r="C296" s="67">
        <v>2</v>
      </c>
      <c r="D296" s="139">
        <v>0.007726656880506181</v>
      </c>
      <c r="E296" s="139">
        <v>2.162862993321926</v>
      </c>
      <c r="F296" s="67" t="s">
        <v>692</v>
      </c>
      <c r="G296" s="67" t="b">
        <v>0</v>
      </c>
      <c r="H296" s="67" t="b">
        <v>0</v>
      </c>
      <c r="I296" s="67" t="b">
        <v>0</v>
      </c>
      <c r="J296" s="67" t="b">
        <v>0</v>
      </c>
      <c r="K296" s="67" t="b">
        <v>0</v>
      </c>
      <c r="L296" s="67" t="b">
        <v>0</v>
      </c>
    </row>
    <row r="297" spans="1:12" ht="15">
      <c r="A297" s="136" t="s">
        <v>2105</v>
      </c>
      <c r="B297" s="67" t="s">
        <v>2167</v>
      </c>
      <c r="C297" s="67">
        <v>2</v>
      </c>
      <c r="D297" s="139">
        <v>0.007726656880506181</v>
      </c>
      <c r="E297" s="139">
        <v>2.162862993321926</v>
      </c>
      <c r="F297" s="67" t="s">
        <v>692</v>
      </c>
      <c r="G297" s="67" t="b">
        <v>0</v>
      </c>
      <c r="H297" s="67" t="b">
        <v>0</v>
      </c>
      <c r="I297" s="67" t="b">
        <v>0</v>
      </c>
      <c r="J297" s="67" t="b">
        <v>0</v>
      </c>
      <c r="K297" s="67" t="b">
        <v>0</v>
      </c>
      <c r="L297" s="67" t="b">
        <v>0</v>
      </c>
    </row>
    <row r="298" spans="1:12" ht="15">
      <c r="A298" s="136" t="s">
        <v>2097</v>
      </c>
      <c r="B298" s="67" t="s">
        <v>2164</v>
      </c>
      <c r="C298" s="67">
        <v>2</v>
      </c>
      <c r="D298" s="139">
        <v>0.007726656880506181</v>
      </c>
      <c r="E298" s="139">
        <v>2.162862993321926</v>
      </c>
      <c r="F298" s="67" t="s">
        <v>692</v>
      </c>
      <c r="G298" s="67" t="b">
        <v>0</v>
      </c>
      <c r="H298" s="67" t="b">
        <v>0</v>
      </c>
      <c r="I298" s="67" t="b">
        <v>0</v>
      </c>
      <c r="J298" s="67" t="b">
        <v>0</v>
      </c>
      <c r="K298" s="67" t="b">
        <v>0</v>
      </c>
      <c r="L298" s="67" t="b">
        <v>0</v>
      </c>
    </row>
    <row r="299" spans="1:12" ht="15">
      <c r="A299" s="136" t="s">
        <v>2059</v>
      </c>
      <c r="B299" s="67" t="s">
        <v>2208</v>
      </c>
      <c r="C299" s="67">
        <v>2</v>
      </c>
      <c r="D299" s="139">
        <v>0.007726656880506181</v>
      </c>
      <c r="E299" s="139">
        <v>2.162862993321926</v>
      </c>
      <c r="F299" s="67" t="s">
        <v>692</v>
      </c>
      <c r="G299" s="67" t="b">
        <v>0</v>
      </c>
      <c r="H299" s="67" t="b">
        <v>0</v>
      </c>
      <c r="I299" s="67" t="b">
        <v>0</v>
      </c>
      <c r="J299" s="67" t="b">
        <v>0</v>
      </c>
      <c r="K299" s="67" t="b">
        <v>0</v>
      </c>
      <c r="L299" s="67" t="b">
        <v>0</v>
      </c>
    </row>
    <row r="300" spans="1:12" ht="15">
      <c r="A300" s="136" t="s">
        <v>2220</v>
      </c>
      <c r="B300" s="67" t="s">
        <v>1835</v>
      </c>
      <c r="C300" s="67">
        <v>2</v>
      </c>
      <c r="D300" s="139">
        <v>0.007726656880506181</v>
      </c>
      <c r="E300" s="139">
        <v>2.162862993321926</v>
      </c>
      <c r="F300" s="67" t="s">
        <v>692</v>
      </c>
      <c r="G300" s="67" t="b">
        <v>0</v>
      </c>
      <c r="H300" s="67" t="b">
        <v>0</v>
      </c>
      <c r="I300" s="67" t="b">
        <v>0</v>
      </c>
      <c r="J300" s="67" t="b">
        <v>0</v>
      </c>
      <c r="K300" s="67" t="b">
        <v>0</v>
      </c>
      <c r="L300" s="67" t="b">
        <v>0</v>
      </c>
    </row>
    <row r="301" spans="1:12" ht="15">
      <c r="A301" s="136" t="s">
        <v>2093</v>
      </c>
      <c r="B301" s="67" t="s">
        <v>2225</v>
      </c>
      <c r="C301" s="67">
        <v>2</v>
      </c>
      <c r="D301" s="139">
        <v>0.007726656880506181</v>
      </c>
      <c r="E301" s="139">
        <v>2.162862993321926</v>
      </c>
      <c r="F301" s="67" t="s">
        <v>692</v>
      </c>
      <c r="G301" s="67" t="b">
        <v>0</v>
      </c>
      <c r="H301" s="67" t="b">
        <v>0</v>
      </c>
      <c r="I301" s="67" t="b">
        <v>0</v>
      </c>
      <c r="J301" s="67" t="b">
        <v>0</v>
      </c>
      <c r="K301" s="67" t="b">
        <v>0</v>
      </c>
      <c r="L301" s="67" t="b">
        <v>0</v>
      </c>
    </row>
    <row r="302" spans="1:12" ht="15">
      <c r="A302" s="136" t="s">
        <v>2107</v>
      </c>
      <c r="B302" s="67" t="s">
        <v>2226</v>
      </c>
      <c r="C302" s="67">
        <v>2</v>
      </c>
      <c r="D302" s="139">
        <v>0.007726656880506181</v>
      </c>
      <c r="E302" s="139">
        <v>2.162862993321926</v>
      </c>
      <c r="F302" s="67" t="s">
        <v>692</v>
      </c>
      <c r="G302" s="67" t="b">
        <v>0</v>
      </c>
      <c r="H302" s="67" t="b">
        <v>0</v>
      </c>
      <c r="I302" s="67" t="b">
        <v>0</v>
      </c>
      <c r="J302" s="67" t="b">
        <v>0</v>
      </c>
      <c r="K302" s="67" t="b">
        <v>0</v>
      </c>
      <c r="L302" s="67" t="b">
        <v>0</v>
      </c>
    </row>
    <row r="303" spans="1:12" ht="15">
      <c r="A303" s="136" t="s">
        <v>2072</v>
      </c>
      <c r="B303" s="67" t="s">
        <v>2191</v>
      </c>
      <c r="C303" s="67">
        <v>2</v>
      </c>
      <c r="D303" s="139">
        <v>0.007726656880506181</v>
      </c>
      <c r="E303" s="139">
        <v>2.162862993321926</v>
      </c>
      <c r="F303" s="67" t="s">
        <v>692</v>
      </c>
      <c r="G303" s="67" t="b">
        <v>0</v>
      </c>
      <c r="H303" s="67" t="b">
        <v>0</v>
      </c>
      <c r="I303" s="67" t="b">
        <v>0</v>
      </c>
      <c r="J303" s="67" t="b">
        <v>0</v>
      </c>
      <c r="K303" s="67" t="b">
        <v>0</v>
      </c>
      <c r="L303" s="67" t="b">
        <v>0</v>
      </c>
    </row>
    <row r="304" spans="1:12" ht="15">
      <c r="A304" s="136" t="s">
        <v>2155</v>
      </c>
      <c r="B304" s="67" t="s">
        <v>2082</v>
      </c>
      <c r="C304" s="67">
        <v>2</v>
      </c>
      <c r="D304" s="139">
        <v>0.007726656880506181</v>
      </c>
      <c r="E304" s="139">
        <v>2.162862993321926</v>
      </c>
      <c r="F304" s="67" t="s">
        <v>692</v>
      </c>
      <c r="G304" s="67" t="b">
        <v>0</v>
      </c>
      <c r="H304" s="67" t="b">
        <v>0</v>
      </c>
      <c r="I304" s="67" t="b">
        <v>0</v>
      </c>
      <c r="J304" s="67" t="b">
        <v>0</v>
      </c>
      <c r="K304" s="67" t="b">
        <v>0</v>
      </c>
      <c r="L304" s="67" t="b">
        <v>0</v>
      </c>
    </row>
    <row r="305" spans="1:12" ht="15">
      <c r="A305" s="136" t="s">
        <v>2127</v>
      </c>
      <c r="B305" s="67" t="s">
        <v>2232</v>
      </c>
      <c r="C305" s="67">
        <v>2</v>
      </c>
      <c r="D305" s="139">
        <v>0.007726656880506181</v>
      </c>
      <c r="E305" s="139">
        <v>2.162862993321926</v>
      </c>
      <c r="F305" s="67" t="s">
        <v>692</v>
      </c>
      <c r="G305" s="67" t="b">
        <v>0</v>
      </c>
      <c r="H305" s="67" t="b">
        <v>0</v>
      </c>
      <c r="I305" s="67" t="b">
        <v>0</v>
      </c>
      <c r="J305" s="67" t="b">
        <v>0</v>
      </c>
      <c r="K305" s="67" t="b">
        <v>0</v>
      </c>
      <c r="L305" s="67" t="b">
        <v>0</v>
      </c>
    </row>
    <row r="306" spans="1:12" ht="15">
      <c r="A306" s="136" t="s">
        <v>2113</v>
      </c>
      <c r="B306" s="67" t="s">
        <v>2221</v>
      </c>
      <c r="C306" s="67">
        <v>2</v>
      </c>
      <c r="D306" s="139">
        <v>0.007726656880506181</v>
      </c>
      <c r="E306" s="139">
        <v>2.162862993321926</v>
      </c>
      <c r="F306" s="67" t="s">
        <v>692</v>
      </c>
      <c r="G306" s="67" t="b">
        <v>0</v>
      </c>
      <c r="H306" s="67" t="b">
        <v>0</v>
      </c>
      <c r="I306" s="67" t="b">
        <v>0</v>
      </c>
      <c r="J306" s="67" t="b">
        <v>0</v>
      </c>
      <c r="K306" s="67" t="b">
        <v>0</v>
      </c>
      <c r="L306" s="67" t="b">
        <v>0</v>
      </c>
    </row>
    <row r="307" spans="1:12" ht="15">
      <c r="A307" s="136" t="s">
        <v>2200</v>
      </c>
      <c r="B307" s="67" t="s">
        <v>2073</v>
      </c>
      <c r="C307" s="67">
        <v>2</v>
      </c>
      <c r="D307" s="139">
        <v>0.007726656880506181</v>
      </c>
      <c r="E307" s="139">
        <v>2.162862993321926</v>
      </c>
      <c r="F307" s="67" t="s">
        <v>692</v>
      </c>
      <c r="G307" s="67" t="b">
        <v>0</v>
      </c>
      <c r="H307" s="67" t="b">
        <v>0</v>
      </c>
      <c r="I307" s="67" t="b">
        <v>0</v>
      </c>
      <c r="J307" s="67" t="b">
        <v>0</v>
      </c>
      <c r="K307" s="67" t="b">
        <v>0</v>
      </c>
      <c r="L307" s="67" t="b">
        <v>0</v>
      </c>
    </row>
    <row r="308" spans="1:12" ht="15">
      <c r="A308" s="136" t="s">
        <v>1807</v>
      </c>
      <c r="B308" s="67" t="s">
        <v>2179</v>
      </c>
      <c r="C308" s="67">
        <v>2</v>
      </c>
      <c r="D308" s="139">
        <v>0.007726656880506181</v>
      </c>
      <c r="E308" s="139">
        <v>1.8618329976579449</v>
      </c>
      <c r="F308" s="67" t="s">
        <v>692</v>
      </c>
      <c r="G308" s="67" t="b">
        <v>0</v>
      </c>
      <c r="H308" s="67" t="b">
        <v>0</v>
      </c>
      <c r="I308" s="67" t="b">
        <v>0</v>
      </c>
      <c r="J308" s="67" t="b">
        <v>0</v>
      </c>
      <c r="K308" s="67" t="b">
        <v>0</v>
      </c>
      <c r="L308" s="67" t="b">
        <v>0</v>
      </c>
    </row>
    <row r="309" spans="1:12" ht="15">
      <c r="A309" s="136" t="s">
        <v>2224</v>
      </c>
      <c r="B309" s="67" t="s">
        <v>2215</v>
      </c>
      <c r="C309" s="67">
        <v>2</v>
      </c>
      <c r="D309" s="139">
        <v>0.007726656880506181</v>
      </c>
      <c r="E309" s="139">
        <v>2.162862993321926</v>
      </c>
      <c r="F309" s="67" t="s">
        <v>692</v>
      </c>
      <c r="G309" s="67" t="b">
        <v>0</v>
      </c>
      <c r="H309" s="67" t="b">
        <v>0</v>
      </c>
      <c r="I309" s="67" t="b">
        <v>0</v>
      </c>
      <c r="J309" s="67" t="b">
        <v>0</v>
      </c>
      <c r="K309" s="67" t="b">
        <v>0</v>
      </c>
      <c r="L309" s="67" t="b">
        <v>0</v>
      </c>
    </row>
    <row r="310" spans="1:12" ht="15">
      <c r="A310" s="136" t="s">
        <v>2215</v>
      </c>
      <c r="B310" s="67" t="s">
        <v>2233</v>
      </c>
      <c r="C310" s="67">
        <v>2</v>
      </c>
      <c r="D310" s="139">
        <v>0.007726656880506181</v>
      </c>
      <c r="E310" s="139">
        <v>2.162862993321926</v>
      </c>
      <c r="F310" s="67" t="s">
        <v>692</v>
      </c>
      <c r="G310" s="67" t="b">
        <v>0</v>
      </c>
      <c r="H310" s="67" t="b">
        <v>0</v>
      </c>
      <c r="I310" s="67" t="b">
        <v>0</v>
      </c>
      <c r="J310" s="67" t="b">
        <v>0</v>
      </c>
      <c r="K310" s="67" t="b">
        <v>0</v>
      </c>
      <c r="L310" s="67" t="b">
        <v>0</v>
      </c>
    </row>
    <row r="311" spans="1:12" ht="15">
      <c r="A311" s="136" t="s">
        <v>2226</v>
      </c>
      <c r="B311" s="67" t="s">
        <v>2197</v>
      </c>
      <c r="C311" s="67">
        <v>2</v>
      </c>
      <c r="D311" s="139">
        <v>0.007726656880506181</v>
      </c>
      <c r="E311" s="139">
        <v>2.162862993321926</v>
      </c>
      <c r="F311" s="67" t="s">
        <v>692</v>
      </c>
      <c r="G311" s="67" t="b">
        <v>0</v>
      </c>
      <c r="H311" s="67" t="b">
        <v>0</v>
      </c>
      <c r="I311" s="67" t="b">
        <v>0</v>
      </c>
      <c r="J311" s="67" t="b">
        <v>0</v>
      </c>
      <c r="K311" s="67" t="b">
        <v>0</v>
      </c>
      <c r="L311" s="67" t="b">
        <v>0</v>
      </c>
    </row>
    <row r="312" spans="1:12" ht="15">
      <c r="A312" s="136" t="s">
        <v>2148</v>
      </c>
      <c r="B312" s="67" t="s">
        <v>2079</v>
      </c>
      <c r="C312" s="67">
        <v>2</v>
      </c>
      <c r="D312" s="139">
        <v>0.007726656880506181</v>
      </c>
      <c r="E312" s="139">
        <v>2.162862993321926</v>
      </c>
      <c r="F312" s="67" t="s">
        <v>692</v>
      </c>
      <c r="G312" s="67" t="b">
        <v>0</v>
      </c>
      <c r="H312" s="67" t="b">
        <v>0</v>
      </c>
      <c r="I312" s="67" t="b">
        <v>0</v>
      </c>
      <c r="J312" s="67" t="b">
        <v>0</v>
      </c>
      <c r="K312" s="67" t="b">
        <v>0</v>
      </c>
      <c r="L312" s="67" t="b">
        <v>0</v>
      </c>
    </row>
    <row r="313" spans="1:12" ht="15">
      <c r="A313" s="136" t="s">
        <v>2211</v>
      </c>
      <c r="B313" s="67" t="s">
        <v>2178</v>
      </c>
      <c r="C313" s="67">
        <v>2</v>
      </c>
      <c r="D313" s="139">
        <v>0.007726656880506181</v>
      </c>
      <c r="E313" s="139">
        <v>2.162862993321926</v>
      </c>
      <c r="F313" s="67" t="s">
        <v>692</v>
      </c>
      <c r="G313" s="67" t="b">
        <v>0</v>
      </c>
      <c r="H313" s="67" t="b">
        <v>0</v>
      </c>
      <c r="I313" s="67" t="b">
        <v>0</v>
      </c>
      <c r="J313" s="67" t="b">
        <v>0</v>
      </c>
      <c r="K313" s="67" t="b">
        <v>0</v>
      </c>
      <c r="L313" s="67" t="b">
        <v>0</v>
      </c>
    </row>
    <row r="314" spans="1:12" ht="15">
      <c r="A314" s="136" t="s">
        <v>2208</v>
      </c>
      <c r="B314" s="67" t="s">
        <v>2138</v>
      </c>
      <c r="C314" s="67">
        <v>2</v>
      </c>
      <c r="D314" s="139">
        <v>0.007726656880506181</v>
      </c>
      <c r="E314" s="139">
        <v>2.162862993321926</v>
      </c>
      <c r="F314" s="67" t="s">
        <v>692</v>
      </c>
      <c r="G314" s="67" t="b">
        <v>0</v>
      </c>
      <c r="H314" s="67" t="b">
        <v>0</v>
      </c>
      <c r="I314" s="67" t="b">
        <v>0</v>
      </c>
      <c r="J314" s="67" t="b">
        <v>0</v>
      </c>
      <c r="K314" s="67" t="b">
        <v>0</v>
      </c>
      <c r="L314" s="67" t="b">
        <v>0</v>
      </c>
    </row>
    <row r="315" spans="1:12" ht="15">
      <c r="A315" s="136" t="s">
        <v>2069</v>
      </c>
      <c r="B315" s="67" t="s">
        <v>2146</v>
      </c>
      <c r="C315" s="67">
        <v>2</v>
      </c>
      <c r="D315" s="139">
        <v>0.007726656880506181</v>
      </c>
      <c r="E315" s="139">
        <v>2.162862993321926</v>
      </c>
      <c r="F315" s="67" t="s">
        <v>692</v>
      </c>
      <c r="G315" s="67" t="b">
        <v>0</v>
      </c>
      <c r="H315" s="67" t="b">
        <v>0</v>
      </c>
      <c r="I315" s="67" t="b">
        <v>0</v>
      </c>
      <c r="J315" s="67" t="b">
        <v>0</v>
      </c>
      <c r="K315" s="67" t="b">
        <v>0</v>
      </c>
      <c r="L315" s="67" t="b">
        <v>0</v>
      </c>
    </row>
    <row r="316" spans="1:12" ht="15">
      <c r="A316" s="136" t="s">
        <v>2196</v>
      </c>
      <c r="B316" s="67" t="s">
        <v>1808</v>
      </c>
      <c r="C316" s="67">
        <v>2</v>
      </c>
      <c r="D316" s="139">
        <v>0.007726656880506181</v>
      </c>
      <c r="E316" s="139">
        <v>1.8618329976579449</v>
      </c>
      <c r="F316" s="67" t="s">
        <v>692</v>
      </c>
      <c r="G316" s="67" t="b">
        <v>0</v>
      </c>
      <c r="H316" s="67" t="b">
        <v>0</v>
      </c>
      <c r="I316" s="67" t="b">
        <v>0</v>
      </c>
      <c r="J316" s="67" t="b">
        <v>0</v>
      </c>
      <c r="K316" s="67" t="b">
        <v>0</v>
      </c>
      <c r="L316" s="67" t="b">
        <v>0</v>
      </c>
    </row>
    <row r="317" spans="1:12" ht="15">
      <c r="A317" s="136" t="s">
        <v>2134</v>
      </c>
      <c r="B317" s="67" t="s">
        <v>2075</v>
      </c>
      <c r="C317" s="67">
        <v>2</v>
      </c>
      <c r="D317" s="139">
        <v>0.007726656880506181</v>
      </c>
      <c r="E317" s="139">
        <v>2.162862993321926</v>
      </c>
      <c r="F317" s="67" t="s">
        <v>692</v>
      </c>
      <c r="G317" s="67" t="b">
        <v>0</v>
      </c>
      <c r="H317" s="67" t="b">
        <v>0</v>
      </c>
      <c r="I317" s="67" t="b">
        <v>0</v>
      </c>
      <c r="J317" s="67" t="b">
        <v>0</v>
      </c>
      <c r="K317" s="67" t="b">
        <v>0</v>
      </c>
      <c r="L317" s="67" t="b">
        <v>0</v>
      </c>
    </row>
    <row r="318" spans="1:12" ht="15">
      <c r="A318" s="136" t="s">
        <v>2138</v>
      </c>
      <c r="B318" s="67" t="s">
        <v>2196</v>
      </c>
      <c r="C318" s="67">
        <v>2</v>
      </c>
      <c r="D318" s="139">
        <v>0.007726656880506181</v>
      </c>
      <c r="E318" s="139">
        <v>2.162862993321926</v>
      </c>
      <c r="F318" s="67" t="s">
        <v>692</v>
      </c>
      <c r="G318" s="67" t="b">
        <v>0</v>
      </c>
      <c r="H318" s="67" t="b">
        <v>0</v>
      </c>
      <c r="I318" s="67" t="b">
        <v>0</v>
      </c>
      <c r="J318" s="67" t="b">
        <v>0</v>
      </c>
      <c r="K318" s="67" t="b">
        <v>0</v>
      </c>
      <c r="L318" s="67" t="b">
        <v>0</v>
      </c>
    </row>
    <row r="319" spans="1:12" ht="15">
      <c r="A319" s="136" t="s">
        <v>1803</v>
      </c>
      <c r="B319" s="67" t="s">
        <v>1805</v>
      </c>
      <c r="C319" s="67">
        <v>5</v>
      </c>
      <c r="D319" s="139">
        <v>0.009116094286427833</v>
      </c>
      <c r="E319" s="139">
        <v>1.697519937940786</v>
      </c>
      <c r="F319" s="67" t="s">
        <v>693</v>
      </c>
      <c r="G319" s="67" t="b">
        <v>0</v>
      </c>
      <c r="H319" s="67" t="b">
        <v>0</v>
      </c>
      <c r="I319" s="67" t="b">
        <v>0</v>
      </c>
      <c r="J319" s="67" t="b">
        <v>0</v>
      </c>
      <c r="K319" s="67" t="b">
        <v>0</v>
      </c>
      <c r="L319" s="67" t="b">
        <v>0</v>
      </c>
    </row>
    <row r="320" spans="1:12" ht="15">
      <c r="A320" s="136" t="s">
        <v>1810</v>
      </c>
      <c r="B320" s="67" t="s">
        <v>1811</v>
      </c>
      <c r="C320" s="67">
        <v>3</v>
      </c>
      <c r="D320" s="139">
        <v>0.007562569304086476</v>
      </c>
      <c r="E320" s="139">
        <v>1.9985499336047672</v>
      </c>
      <c r="F320" s="67" t="s">
        <v>693</v>
      </c>
      <c r="G320" s="67" t="b">
        <v>0</v>
      </c>
      <c r="H320" s="67" t="b">
        <v>0</v>
      </c>
      <c r="I320" s="67" t="b">
        <v>0</v>
      </c>
      <c r="J320" s="67" t="b">
        <v>0</v>
      </c>
      <c r="K320" s="67" t="b">
        <v>0</v>
      </c>
      <c r="L320" s="67" t="b">
        <v>0</v>
      </c>
    </row>
    <row r="321" spans="1:12" ht="15">
      <c r="A321" s="136" t="s">
        <v>963</v>
      </c>
      <c r="B321" s="67" t="s">
        <v>1803</v>
      </c>
      <c r="C321" s="67">
        <v>3</v>
      </c>
      <c r="D321" s="139">
        <v>0.007562569304086476</v>
      </c>
      <c r="E321" s="139">
        <v>1.0954599466128236</v>
      </c>
      <c r="F321" s="67" t="s">
        <v>693</v>
      </c>
      <c r="G321" s="67" t="b">
        <v>0</v>
      </c>
      <c r="H321" s="67" t="b">
        <v>0</v>
      </c>
      <c r="I321" s="67" t="b">
        <v>0</v>
      </c>
      <c r="J321" s="67" t="b">
        <v>0</v>
      </c>
      <c r="K321" s="67" t="b">
        <v>0</v>
      </c>
      <c r="L321" s="67" t="b">
        <v>0</v>
      </c>
    </row>
    <row r="322" spans="1:12" ht="15">
      <c r="A322" s="136" t="s">
        <v>2096</v>
      </c>
      <c r="B322" s="67" t="s">
        <v>1803</v>
      </c>
      <c r="C322" s="67">
        <v>2</v>
      </c>
      <c r="D322" s="139">
        <v>0.006149205064709735</v>
      </c>
      <c r="E322" s="139">
        <v>1.572581201332486</v>
      </c>
      <c r="F322" s="67" t="s">
        <v>693</v>
      </c>
      <c r="G322" s="67" t="b">
        <v>0</v>
      </c>
      <c r="H322" s="67" t="b">
        <v>0</v>
      </c>
      <c r="I322" s="67" t="b">
        <v>0</v>
      </c>
      <c r="J322" s="67" t="b">
        <v>0</v>
      </c>
      <c r="K322" s="67" t="b">
        <v>0</v>
      </c>
      <c r="L322" s="67" t="b">
        <v>0</v>
      </c>
    </row>
    <row r="323" spans="1:12" ht="15">
      <c r="A323" s="136" t="s">
        <v>963</v>
      </c>
      <c r="B323" s="67" t="s">
        <v>2096</v>
      </c>
      <c r="C323" s="67">
        <v>2</v>
      </c>
      <c r="D323" s="139">
        <v>0.006149205064709735</v>
      </c>
      <c r="E323" s="139">
        <v>1.5214286788851048</v>
      </c>
      <c r="F323" s="67" t="s">
        <v>693</v>
      </c>
      <c r="G323" s="67" t="b">
        <v>0</v>
      </c>
      <c r="H323" s="67" t="b">
        <v>0</v>
      </c>
      <c r="I323" s="67" t="b">
        <v>0</v>
      </c>
      <c r="J323" s="67" t="b">
        <v>0</v>
      </c>
      <c r="K323" s="67" t="b">
        <v>0</v>
      </c>
      <c r="L323" s="67" t="b">
        <v>0</v>
      </c>
    </row>
    <row r="324" spans="1:12" ht="15">
      <c r="A324" s="136" t="s">
        <v>333</v>
      </c>
      <c r="B324" s="67" t="s">
        <v>954</v>
      </c>
      <c r="C324" s="67">
        <v>2</v>
      </c>
      <c r="D324" s="139">
        <v>0.006149205064709735</v>
      </c>
      <c r="E324" s="139">
        <v>2.1746411926604483</v>
      </c>
      <c r="F324" s="67" t="s">
        <v>693</v>
      </c>
      <c r="G324" s="67" t="b">
        <v>0</v>
      </c>
      <c r="H324" s="67" t="b">
        <v>0</v>
      </c>
      <c r="I324" s="67" t="b">
        <v>0</v>
      </c>
      <c r="J324" s="67" t="b">
        <v>0</v>
      </c>
      <c r="K324" s="67" t="b">
        <v>0</v>
      </c>
      <c r="L324" s="67" t="b">
        <v>0</v>
      </c>
    </row>
    <row r="325" spans="1:12" ht="15">
      <c r="A325" s="136" t="s">
        <v>1801</v>
      </c>
      <c r="B325" s="67" t="s">
        <v>1801</v>
      </c>
      <c r="C325" s="67">
        <v>6</v>
      </c>
      <c r="D325" s="139">
        <v>0.05305576707161206</v>
      </c>
      <c r="E325" s="139">
        <v>0.8527848686805478</v>
      </c>
      <c r="F325" s="67" t="s">
        <v>804</v>
      </c>
      <c r="G325" s="67" t="b">
        <v>0</v>
      </c>
      <c r="H325" s="67" t="b">
        <v>0</v>
      </c>
      <c r="I325" s="67" t="b">
        <v>0</v>
      </c>
      <c r="J325" s="67" t="b">
        <v>0</v>
      </c>
      <c r="K325" s="67" t="b">
        <v>0</v>
      </c>
      <c r="L325" s="67" t="b">
        <v>0</v>
      </c>
    </row>
    <row r="326" spans="1:12" ht="15">
      <c r="A326" s="136" t="s">
        <v>1821</v>
      </c>
      <c r="B326" s="67" t="s">
        <v>2058</v>
      </c>
      <c r="C326" s="67">
        <v>2</v>
      </c>
      <c r="D326" s="139">
        <v>0.017685255690537357</v>
      </c>
      <c r="E326" s="139">
        <v>1.5797835966168103</v>
      </c>
      <c r="F326" s="67" t="s">
        <v>804</v>
      </c>
      <c r="G326" s="67" t="b">
        <v>0</v>
      </c>
      <c r="H326" s="67" t="b">
        <v>0</v>
      </c>
      <c r="I326" s="67" t="b">
        <v>0</v>
      </c>
      <c r="J326" s="67" t="b">
        <v>0</v>
      </c>
      <c r="K326" s="67" t="b">
        <v>0</v>
      </c>
      <c r="L326" s="67" t="b">
        <v>0</v>
      </c>
    </row>
    <row r="327" spans="1:12" ht="15">
      <c r="A327" s="136" t="s">
        <v>1818</v>
      </c>
      <c r="B327" s="67" t="s">
        <v>2130</v>
      </c>
      <c r="C327" s="67">
        <v>2</v>
      </c>
      <c r="D327" s="139">
        <v>0.017685255690537357</v>
      </c>
      <c r="E327" s="139">
        <v>1.5797835966168103</v>
      </c>
      <c r="F327" s="67" t="s">
        <v>804</v>
      </c>
      <c r="G327" s="67" t="b">
        <v>0</v>
      </c>
      <c r="H327" s="67" t="b">
        <v>0</v>
      </c>
      <c r="I327" s="67" t="b">
        <v>0</v>
      </c>
      <c r="J327" s="67" t="b">
        <v>0</v>
      </c>
      <c r="K327" s="67" t="b">
        <v>0</v>
      </c>
      <c r="L327" s="67" t="b">
        <v>0</v>
      </c>
    </row>
    <row r="328" spans="1:12" ht="15">
      <c r="A328" s="136" t="s">
        <v>2210</v>
      </c>
      <c r="B328" s="67" t="s">
        <v>1820</v>
      </c>
      <c r="C328" s="67">
        <v>2</v>
      </c>
      <c r="D328" s="139">
        <v>0.017685255690537357</v>
      </c>
      <c r="E328" s="139">
        <v>1.5797835966168103</v>
      </c>
      <c r="F328" s="67" t="s">
        <v>804</v>
      </c>
      <c r="G328" s="67" t="b">
        <v>0</v>
      </c>
      <c r="H328" s="67" t="b">
        <v>0</v>
      </c>
      <c r="I328" s="67" t="b">
        <v>0</v>
      </c>
      <c r="J328" s="67" t="b">
        <v>0</v>
      </c>
      <c r="K328" s="67" t="b">
        <v>0</v>
      </c>
      <c r="L328" s="67" t="b">
        <v>0</v>
      </c>
    </row>
    <row r="329" spans="1:12" ht="15">
      <c r="A329" s="136" t="s">
        <v>1817</v>
      </c>
      <c r="B329" s="67" t="s">
        <v>2171</v>
      </c>
      <c r="C329" s="67">
        <v>2</v>
      </c>
      <c r="D329" s="139">
        <v>0.017685255690537357</v>
      </c>
      <c r="E329" s="139">
        <v>1.5797835966168103</v>
      </c>
      <c r="F329" s="67" t="s">
        <v>804</v>
      </c>
      <c r="G329" s="67" t="b">
        <v>0</v>
      </c>
      <c r="H329" s="67" t="b">
        <v>0</v>
      </c>
      <c r="I329" s="67" t="b">
        <v>0</v>
      </c>
      <c r="J329" s="67" t="b">
        <v>0</v>
      </c>
      <c r="K329" s="67" t="b">
        <v>0</v>
      </c>
      <c r="L329" s="67" t="b">
        <v>0</v>
      </c>
    </row>
    <row r="330" spans="1:12" ht="15">
      <c r="A330" s="136" t="s">
        <v>1801</v>
      </c>
      <c r="B330" s="67" t="s">
        <v>1817</v>
      </c>
      <c r="C330" s="67">
        <v>2</v>
      </c>
      <c r="D330" s="139">
        <v>0.017685255690537357</v>
      </c>
      <c r="E330" s="139">
        <v>0.9777236052888478</v>
      </c>
      <c r="F330" s="67" t="s">
        <v>804</v>
      </c>
      <c r="G330" s="67" t="b">
        <v>0</v>
      </c>
      <c r="H330" s="67" t="b">
        <v>0</v>
      </c>
      <c r="I330" s="67" t="b">
        <v>0</v>
      </c>
      <c r="J330" s="67" t="b">
        <v>0</v>
      </c>
      <c r="K330" s="67" t="b">
        <v>0</v>
      </c>
      <c r="L330" s="67" t="b">
        <v>0</v>
      </c>
    </row>
    <row r="331" spans="1:12" ht="15">
      <c r="A331" s="136" t="s">
        <v>2133</v>
      </c>
      <c r="B331" s="67" t="s">
        <v>2128</v>
      </c>
      <c r="C331" s="67">
        <v>2</v>
      </c>
      <c r="D331" s="139">
        <v>0.017685255690537357</v>
      </c>
      <c r="E331" s="139">
        <v>1.5797835966168103</v>
      </c>
      <c r="F331" s="67" t="s">
        <v>804</v>
      </c>
      <c r="G331" s="67" t="b">
        <v>0</v>
      </c>
      <c r="H331" s="67" t="b">
        <v>0</v>
      </c>
      <c r="I331" s="67" t="b">
        <v>0</v>
      </c>
      <c r="J331" s="67" t="b">
        <v>0</v>
      </c>
      <c r="K331" s="67" t="b">
        <v>0</v>
      </c>
      <c r="L331" s="67" t="b">
        <v>0</v>
      </c>
    </row>
    <row r="332" spans="1:12" ht="15">
      <c r="A332" s="136" t="s">
        <v>2058</v>
      </c>
      <c r="B332" s="67" t="s">
        <v>2122</v>
      </c>
      <c r="C332" s="67">
        <v>2</v>
      </c>
      <c r="D332" s="139">
        <v>0.017685255690537357</v>
      </c>
      <c r="E332" s="139">
        <v>1.5797835966168103</v>
      </c>
      <c r="F332" s="67" t="s">
        <v>804</v>
      </c>
      <c r="G332" s="67" t="b">
        <v>0</v>
      </c>
      <c r="H332" s="67" t="b">
        <v>0</v>
      </c>
      <c r="I332" s="67" t="b">
        <v>0</v>
      </c>
      <c r="J332" s="67" t="b">
        <v>0</v>
      </c>
      <c r="K332" s="67" t="b">
        <v>0</v>
      </c>
      <c r="L332" s="67" t="b">
        <v>0</v>
      </c>
    </row>
    <row r="333" spans="1:12" ht="15">
      <c r="A333" s="136" t="s">
        <v>2144</v>
      </c>
      <c r="B333" s="67" t="s">
        <v>2140</v>
      </c>
      <c r="C333" s="67">
        <v>2</v>
      </c>
      <c r="D333" s="139">
        <v>0.017685255690537357</v>
      </c>
      <c r="E333" s="139">
        <v>1.5797835966168103</v>
      </c>
      <c r="F333" s="67" t="s">
        <v>804</v>
      </c>
      <c r="G333" s="67" t="b">
        <v>0</v>
      </c>
      <c r="H333" s="67" t="b">
        <v>0</v>
      </c>
      <c r="I333" s="67" t="b">
        <v>0</v>
      </c>
      <c r="J333" s="67" t="b">
        <v>0</v>
      </c>
      <c r="K333" s="67" t="b">
        <v>0</v>
      </c>
      <c r="L333" s="67" t="b">
        <v>0</v>
      </c>
    </row>
    <row r="334" spans="1:12" ht="15">
      <c r="A334" s="136" t="s">
        <v>2083</v>
      </c>
      <c r="B334" s="67" t="s">
        <v>1819</v>
      </c>
      <c r="C334" s="67">
        <v>2</v>
      </c>
      <c r="D334" s="139">
        <v>0.017685255690537357</v>
      </c>
      <c r="E334" s="139">
        <v>1.5797835966168103</v>
      </c>
      <c r="F334" s="67" t="s">
        <v>804</v>
      </c>
      <c r="G334" s="67" t="b">
        <v>0</v>
      </c>
      <c r="H334" s="67" t="b">
        <v>0</v>
      </c>
      <c r="I334" s="67" t="b">
        <v>0</v>
      </c>
      <c r="J334" s="67" t="b">
        <v>0</v>
      </c>
      <c r="K334" s="67" t="b">
        <v>0</v>
      </c>
      <c r="L334" s="67" t="b">
        <v>0</v>
      </c>
    </row>
    <row r="335" spans="1:12" ht="15">
      <c r="A335" s="136" t="s">
        <v>2130</v>
      </c>
      <c r="B335" s="67" t="s">
        <v>2063</v>
      </c>
      <c r="C335" s="67">
        <v>2</v>
      </c>
      <c r="D335" s="139">
        <v>0.017685255690537357</v>
      </c>
      <c r="E335" s="139">
        <v>1.5797835966168103</v>
      </c>
      <c r="F335" s="67" t="s">
        <v>804</v>
      </c>
      <c r="G335" s="67" t="b">
        <v>0</v>
      </c>
      <c r="H335" s="67" t="b">
        <v>0</v>
      </c>
      <c r="I335" s="67" t="b">
        <v>0</v>
      </c>
      <c r="J335" s="67" t="b">
        <v>0</v>
      </c>
      <c r="K335" s="67" t="b">
        <v>0</v>
      </c>
      <c r="L335" s="67" t="b">
        <v>0</v>
      </c>
    </row>
    <row r="336" spans="1:12" ht="15">
      <c r="A336" s="136" t="s">
        <v>1816</v>
      </c>
      <c r="B336" s="67" t="s">
        <v>2119</v>
      </c>
      <c r="C336" s="67">
        <v>2</v>
      </c>
      <c r="D336" s="139">
        <v>0.017685255690537357</v>
      </c>
      <c r="E336" s="139">
        <v>1.403692337561129</v>
      </c>
      <c r="F336" s="67" t="s">
        <v>804</v>
      </c>
      <c r="G336" s="67" t="b">
        <v>0</v>
      </c>
      <c r="H336" s="67" t="b">
        <v>0</v>
      </c>
      <c r="I336" s="67" t="b">
        <v>0</v>
      </c>
      <c r="J336" s="67" t="b">
        <v>0</v>
      </c>
      <c r="K336" s="67" t="b">
        <v>0</v>
      </c>
      <c r="L336" s="67" t="b">
        <v>0</v>
      </c>
    </row>
    <row r="337" spans="1:12" ht="15">
      <c r="A337" s="136" t="s">
        <v>2078</v>
      </c>
      <c r="B337" s="67" t="s">
        <v>1816</v>
      </c>
      <c r="C337" s="67">
        <v>2</v>
      </c>
      <c r="D337" s="139">
        <v>0.017685255690537357</v>
      </c>
      <c r="E337" s="139">
        <v>1.403692337561129</v>
      </c>
      <c r="F337" s="67" t="s">
        <v>804</v>
      </c>
      <c r="G337" s="67" t="b">
        <v>0</v>
      </c>
      <c r="H337" s="67" t="b">
        <v>0</v>
      </c>
      <c r="I337" s="67" t="b">
        <v>0</v>
      </c>
      <c r="J337" s="67" t="b">
        <v>0</v>
      </c>
      <c r="K337" s="67" t="b">
        <v>0</v>
      </c>
      <c r="L337" s="67" t="b">
        <v>0</v>
      </c>
    </row>
    <row r="338" spans="1:12" ht="15">
      <c r="A338" s="136" t="s">
        <v>2128</v>
      </c>
      <c r="B338" s="67" t="s">
        <v>1823</v>
      </c>
      <c r="C338" s="67">
        <v>2</v>
      </c>
      <c r="D338" s="139">
        <v>0.017685255690537357</v>
      </c>
      <c r="E338" s="139">
        <v>1.5797835966168103</v>
      </c>
      <c r="F338" s="67" t="s">
        <v>804</v>
      </c>
      <c r="G338" s="67" t="b">
        <v>0</v>
      </c>
      <c r="H338" s="67" t="b">
        <v>0</v>
      </c>
      <c r="I338" s="67" t="b">
        <v>0</v>
      </c>
      <c r="J338" s="67" t="b">
        <v>0</v>
      </c>
      <c r="K338" s="67" t="b">
        <v>0</v>
      </c>
      <c r="L338" s="67" t="b">
        <v>0</v>
      </c>
    </row>
    <row r="339" spans="1:12" ht="15">
      <c r="A339" s="136" t="s">
        <v>2161</v>
      </c>
      <c r="B339" s="67" t="s">
        <v>2133</v>
      </c>
      <c r="C339" s="67">
        <v>2</v>
      </c>
      <c r="D339" s="139">
        <v>0.017685255690537357</v>
      </c>
      <c r="E339" s="139">
        <v>1.5797835966168103</v>
      </c>
      <c r="F339" s="67" t="s">
        <v>804</v>
      </c>
      <c r="G339" s="67" t="b">
        <v>0</v>
      </c>
      <c r="H339" s="67" t="b">
        <v>0</v>
      </c>
      <c r="I339" s="67" t="b">
        <v>0</v>
      </c>
      <c r="J339" s="67" t="b">
        <v>0</v>
      </c>
      <c r="K339" s="67" t="b">
        <v>0</v>
      </c>
      <c r="L339" s="67" t="b">
        <v>0</v>
      </c>
    </row>
    <row r="340" spans="1:12" ht="15">
      <c r="A340" s="136" t="s">
        <v>2129</v>
      </c>
      <c r="B340" s="67" t="s">
        <v>2136</v>
      </c>
      <c r="C340" s="67">
        <v>2</v>
      </c>
      <c r="D340" s="139">
        <v>0.017685255690537357</v>
      </c>
      <c r="E340" s="139">
        <v>1.5797835966168103</v>
      </c>
      <c r="F340" s="67" t="s">
        <v>804</v>
      </c>
      <c r="G340" s="67" t="b">
        <v>0</v>
      </c>
      <c r="H340" s="67" t="b">
        <v>0</v>
      </c>
      <c r="I340" s="67" t="b">
        <v>0</v>
      </c>
      <c r="J340" s="67" t="b">
        <v>0</v>
      </c>
      <c r="K340" s="67" t="b">
        <v>0</v>
      </c>
      <c r="L340" s="67" t="b">
        <v>0</v>
      </c>
    </row>
    <row r="341" spans="1:12" ht="15">
      <c r="A341" s="136" t="s">
        <v>2120</v>
      </c>
      <c r="B341" s="67" t="s">
        <v>2083</v>
      </c>
      <c r="C341" s="67">
        <v>2</v>
      </c>
      <c r="D341" s="139">
        <v>0.017685255690537357</v>
      </c>
      <c r="E341" s="139">
        <v>1.5797835966168103</v>
      </c>
      <c r="F341" s="67" t="s">
        <v>804</v>
      </c>
      <c r="G341" s="67" t="b">
        <v>0</v>
      </c>
      <c r="H341" s="67" t="b">
        <v>0</v>
      </c>
      <c r="I341" s="67" t="b">
        <v>0</v>
      </c>
      <c r="J341" s="67" t="b">
        <v>0</v>
      </c>
      <c r="K341" s="67" t="b">
        <v>0</v>
      </c>
      <c r="L341" s="67" t="b">
        <v>0</v>
      </c>
    </row>
    <row r="342" spans="1:12" ht="15">
      <c r="A342" s="136" t="s">
        <v>1800</v>
      </c>
      <c r="B342" s="67" t="s">
        <v>2161</v>
      </c>
      <c r="C342" s="67">
        <v>2</v>
      </c>
      <c r="D342" s="139">
        <v>0.017685255690537357</v>
      </c>
      <c r="E342" s="139">
        <v>1.278753600952829</v>
      </c>
      <c r="F342" s="67" t="s">
        <v>804</v>
      </c>
      <c r="G342" s="67" t="b">
        <v>0</v>
      </c>
      <c r="H342" s="67" t="b">
        <v>0</v>
      </c>
      <c r="I342" s="67" t="b">
        <v>0</v>
      </c>
      <c r="J342" s="67" t="b">
        <v>0</v>
      </c>
      <c r="K342" s="67" t="b">
        <v>0</v>
      </c>
      <c r="L342" s="67" t="b">
        <v>0</v>
      </c>
    </row>
    <row r="343" spans="1:12" ht="15">
      <c r="A343" s="136" t="s">
        <v>1822</v>
      </c>
      <c r="B343" s="67" t="s">
        <v>1800</v>
      </c>
      <c r="C343" s="67">
        <v>2</v>
      </c>
      <c r="D343" s="139">
        <v>0.017685255690537357</v>
      </c>
      <c r="E343" s="139">
        <v>1.403692337561129</v>
      </c>
      <c r="F343" s="67" t="s">
        <v>804</v>
      </c>
      <c r="G343" s="67" t="b">
        <v>0</v>
      </c>
      <c r="H343" s="67" t="b">
        <v>0</v>
      </c>
      <c r="I343" s="67" t="b">
        <v>0</v>
      </c>
      <c r="J343" s="67" t="b">
        <v>0</v>
      </c>
      <c r="K343" s="67" t="b">
        <v>0</v>
      </c>
      <c r="L343" s="67" t="b">
        <v>0</v>
      </c>
    </row>
    <row r="344" spans="1:12" ht="15">
      <c r="A344" s="136" t="s">
        <v>2140</v>
      </c>
      <c r="B344" s="67" t="s">
        <v>2094</v>
      </c>
      <c r="C344" s="67">
        <v>2</v>
      </c>
      <c r="D344" s="139">
        <v>0.017685255690537357</v>
      </c>
      <c r="E344" s="139">
        <v>1.5797835966168103</v>
      </c>
      <c r="F344" s="67" t="s">
        <v>804</v>
      </c>
      <c r="G344" s="67" t="b">
        <v>0</v>
      </c>
      <c r="H344" s="67" t="b">
        <v>0</v>
      </c>
      <c r="I344" s="67" t="b">
        <v>0</v>
      </c>
      <c r="J344" s="67" t="b">
        <v>0</v>
      </c>
      <c r="K344" s="67" t="b">
        <v>0</v>
      </c>
      <c r="L344" s="67" t="b">
        <v>0</v>
      </c>
    </row>
    <row r="345" spans="1:12" ht="15">
      <c r="A345" s="136" t="s">
        <v>2119</v>
      </c>
      <c r="B345" s="67" t="s">
        <v>1821</v>
      </c>
      <c r="C345" s="67">
        <v>2</v>
      </c>
      <c r="D345" s="139">
        <v>0.017685255690537357</v>
      </c>
      <c r="E345" s="139">
        <v>1.5797835966168103</v>
      </c>
      <c r="F345" s="67" t="s">
        <v>804</v>
      </c>
      <c r="G345" s="67" t="b">
        <v>0</v>
      </c>
      <c r="H345" s="67" t="b">
        <v>0</v>
      </c>
      <c r="I345" s="67" t="b">
        <v>0</v>
      </c>
      <c r="J345" s="67" t="b">
        <v>0</v>
      </c>
      <c r="K345" s="67" t="b">
        <v>0</v>
      </c>
      <c r="L345" s="67" t="b">
        <v>0</v>
      </c>
    </row>
    <row r="346" spans="1:12" ht="15">
      <c r="A346" s="136" t="s">
        <v>1820</v>
      </c>
      <c r="B346" s="67" t="s">
        <v>2142</v>
      </c>
      <c r="C346" s="67">
        <v>2</v>
      </c>
      <c r="D346" s="139">
        <v>0.017685255690537357</v>
      </c>
      <c r="E346" s="139">
        <v>1.5797835966168103</v>
      </c>
      <c r="F346" s="67" t="s">
        <v>804</v>
      </c>
      <c r="G346" s="67" t="b">
        <v>0</v>
      </c>
      <c r="H346" s="67" t="b">
        <v>0</v>
      </c>
      <c r="I346" s="67" t="b">
        <v>0</v>
      </c>
      <c r="J346" s="67" t="b">
        <v>0</v>
      </c>
      <c r="K346" s="67" t="b">
        <v>0</v>
      </c>
      <c r="L346" s="67" t="b">
        <v>0</v>
      </c>
    </row>
    <row r="347" spans="1:12" ht="15">
      <c r="A347" s="136" t="s">
        <v>2180</v>
      </c>
      <c r="B347" s="67" t="s">
        <v>2144</v>
      </c>
      <c r="C347" s="67">
        <v>2</v>
      </c>
      <c r="D347" s="139">
        <v>0.017685255690537357</v>
      </c>
      <c r="E347" s="139">
        <v>1.5797835966168103</v>
      </c>
      <c r="F347" s="67" t="s">
        <v>804</v>
      </c>
      <c r="G347" s="67" t="b">
        <v>0</v>
      </c>
      <c r="H347" s="67" t="b">
        <v>0</v>
      </c>
      <c r="I347" s="67" t="b">
        <v>0</v>
      </c>
      <c r="J347" s="67" t="b">
        <v>0</v>
      </c>
      <c r="K347" s="67" t="b">
        <v>0</v>
      </c>
      <c r="L347" s="67" t="b">
        <v>0</v>
      </c>
    </row>
    <row r="348" spans="1:12" ht="15">
      <c r="A348" s="136" t="s">
        <v>1819</v>
      </c>
      <c r="B348" s="67" t="s">
        <v>1801</v>
      </c>
      <c r="C348" s="67">
        <v>2</v>
      </c>
      <c r="D348" s="139">
        <v>0.017685255690537357</v>
      </c>
      <c r="E348" s="139">
        <v>0.9777236052888478</v>
      </c>
      <c r="F348" s="67" t="s">
        <v>804</v>
      </c>
      <c r="G348" s="67" t="b">
        <v>0</v>
      </c>
      <c r="H348" s="67" t="b">
        <v>0</v>
      </c>
      <c r="I348" s="67" t="b">
        <v>0</v>
      </c>
      <c r="J348" s="67" t="b">
        <v>0</v>
      </c>
      <c r="K348" s="67" t="b">
        <v>0</v>
      </c>
      <c r="L348" s="67" t="b">
        <v>0</v>
      </c>
    </row>
    <row r="349" spans="1:12" ht="15">
      <c r="A349" s="136" t="s">
        <v>2142</v>
      </c>
      <c r="B349" s="67" t="s">
        <v>1822</v>
      </c>
      <c r="C349" s="67">
        <v>2</v>
      </c>
      <c r="D349" s="139">
        <v>0.017685255690537357</v>
      </c>
      <c r="E349" s="139">
        <v>1.5797835966168103</v>
      </c>
      <c r="F349" s="67" t="s">
        <v>804</v>
      </c>
      <c r="G349" s="67" t="b">
        <v>0</v>
      </c>
      <c r="H349" s="67" t="b">
        <v>0</v>
      </c>
      <c r="I349" s="67" t="b">
        <v>0</v>
      </c>
      <c r="J349" s="67" t="b">
        <v>0</v>
      </c>
      <c r="K349" s="67" t="b">
        <v>0</v>
      </c>
      <c r="L349" s="67" t="b">
        <v>0</v>
      </c>
    </row>
    <row r="350" spans="1:12" ht="15">
      <c r="A350" s="136" t="s">
        <v>1823</v>
      </c>
      <c r="B350" s="67" t="s">
        <v>2180</v>
      </c>
      <c r="C350" s="67">
        <v>2</v>
      </c>
      <c r="D350" s="139">
        <v>0.017685255690537357</v>
      </c>
      <c r="E350" s="139">
        <v>1.5797835966168103</v>
      </c>
      <c r="F350" s="67" t="s">
        <v>804</v>
      </c>
      <c r="G350" s="67" t="b">
        <v>0</v>
      </c>
      <c r="H350" s="67" t="b">
        <v>0</v>
      </c>
      <c r="I350" s="67" t="b">
        <v>0</v>
      </c>
      <c r="J350" s="67" t="b">
        <v>0</v>
      </c>
      <c r="K350" s="67" t="b">
        <v>0</v>
      </c>
      <c r="L350" s="67" t="b">
        <v>0</v>
      </c>
    </row>
    <row r="351" spans="1:12" ht="15">
      <c r="A351" s="136" t="s">
        <v>1825</v>
      </c>
      <c r="B351" s="67" t="s">
        <v>1824</v>
      </c>
      <c r="C351" s="67">
        <v>4</v>
      </c>
      <c r="D351" s="139">
        <v>0.0400196048375267</v>
      </c>
      <c r="E351" s="139">
        <v>1.1972805581256194</v>
      </c>
      <c r="F351" s="67" t="s">
        <v>805</v>
      </c>
      <c r="G351" s="67" t="b">
        <v>0</v>
      </c>
      <c r="H351" s="67" t="b">
        <v>0</v>
      </c>
      <c r="I351" s="67" t="b">
        <v>0</v>
      </c>
      <c r="J351" s="67" t="b">
        <v>0</v>
      </c>
      <c r="K351" s="67" t="b">
        <v>0</v>
      </c>
      <c r="L351" s="67" t="b">
        <v>0</v>
      </c>
    </row>
    <row r="352" spans="1:12" ht="15">
      <c r="A352" s="136" t="s">
        <v>1828</v>
      </c>
      <c r="B352" s="67" t="s">
        <v>2214</v>
      </c>
      <c r="C352" s="67">
        <v>2</v>
      </c>
      <c r="D352" s="139">
        <v>0.02000980241876335</v>
      </c>
      <c r="E352" s="139">
        <v>1.4983105537896007</v>
      </c>
      <c r="F352" s="67" t="s">
        <v>805</v>
      </c>
      <c r="G352" s="67" t="b">
        <v>0</v>
      </c>
      <c r="H352" s="67" t="b">
        <v>0</v>
      </c>
      <c r="I352" s="67" t="b">
        <v>0</v>
      </c>
      <c r="J352" s="67" t="b">
        <v>0</v>
      </c>
      <c r="K352" s="67" t="b">
        <v>0</v>
      </c>
      <c r="L352" s="67" t="b">
        <v>0</v>
      </c>
    </row>
    <row r="353" spans="1:12" ht="15">
      <c r="A353" s="136" t="s">
        <v>2111</v>
      </c>
      <c r="B353" s="67" t="s">
        <v>2126</v>
      </c>
      <c r="C353" s="67">
        <v>2</v>
      </c>
      <c r="D353" s="139">
        <v>0.02000980241876335</v>
      </c>
      <c r="E353" s="139">
        <v>1.4983105537896007</v>
      </c>
      <c r="F353" s="67" t="s">
        <v>805</v>
      </c>
      <c r="G353" s="67" t="b">
        <v>0</v>
      </c>
      <c r="H353" s="67" t="b">
        <v>0</v>
      </c>
      <c r="I353" s="67" t="b">
        <v>0</v>
      </c>
      <c r="J353" s="67" t="b">
        <v>0</v>
      </c>
      <c r="K353" s="67" t="b">
        <v>0</v>
      </c>
      <c r="L353" s="67" t="b">
        <v>0</v>
      </c>
    </row>
    <row r="354" spans="1:12" ht="15">
      <c r="A354" s="136" t="s">
        <v>1827</v>
      </c>
      <c r="B354" s="67" t="s">
        <v>1829</v>
      </c>
      <c r="C354" s="67">
        <v>2</v>
      </c>
      <c r="D354" s="139">
        <v>0.02000980241876335</v>
      </c>
      <c r="E354" s="139">
        <v>1.4983105537896007</v>
      </c>
      <c r="F354" s="67" t="s">
        <v>805</v>
      </c>
      <c r="G354" s="67" t="b">
        <v>0</v>
      </c>
      <c r="H354" s="67" t="b">
        <v>0</v>
      </c>
      <c r="I354" s="67" t="b">
        <v>0</v>
      </c>
      <c r="J354" s="67" t="b">
        <v>0</v>
      </c>
      <c r="K354" s="67" t="b">
        <v>0</v>
      </c>
      <c r="L354" s="67" t="b">
        <v>0</v>
      </c>
    </row>
    <row r="355" spans="1:12" ht="15">
      <c r="A355" s="136" t="s">
        <v>1831</v>
      </c>
      <c r="B355" s="67" t="s">
        <v>2231</v>
      </c>
      <c r="C355" s="67">
        <v>2</v>
      </c>
      <c r="D355" s="139">
        <v>0.02000980241876335</v>
      </c>
      <c r="E355" s="139">
        <v>1.4983105537896007</v>
      </c>
      <c r="F355" s="67" t="s">
        <v>805</v>
      </c>
      <c r="G355" s="67" t="b">
        <v>0</v>
      </c>
      <c r="H355" s="67" t="b">
        <v>0</v>
      </c>
      <c r="I355" s="67" t="b">
        <v>0</v>
      </c>
      <c r="J355" s="67" t="b">
        <v>0</v>
      </c>
      <c r="K355" s="67" t="b">
        <v>0</v>
      </c>
      <c r="L355" s="67" t="b">
        <v>0</v>
      </c>
    </row>
    <row r="356" spans="1:12" ht="15">
      <c r="A356" s="136" t="s">
        <v>2217</v>
      </c>
      <c r="B356" s="67" t="s">
        <v>1826</v>
      </c>
      <c r="C356" s="67">
        <v>2</v>
      </c>
      <c r="D356" s="139">
        <v>0.02000980241876335</v>
      </c>
      <c r="E356" s="139">
        <v>1.3222192947339193</v>
      </c>
      <c r="F356" s="67" t="s">
        <v>805</v>
      </c>
      <c r="G356" s="67" t="b">
        <v>0</v>
      </c>
      <c r="H356" s="67" t="b">
        <v>0</v>
      </c>
      <c r="I356" s="67" t="b">
        <v>0</v>
      </c>
      <c r="J356" s="67" t="b">
        <v>0</v>
      </c>
      <c r="K356" s="67" t="b">
        <v>0</v>
      </c>
      <c r="L356" s="67" t="b">
        <v>0</v>
      </c>
    </row>
    <row r="357" spans="1:12" ht="15">
      <c r="A357" s="136" t="s">
        <v>913</v>
      </c>
      <c r="B357" s="67" t="s">
        <v>2066</v>
      </c>
      <c r="C357" s="67">
        <v>2</v>
      </c>
      <c r="D357" s="139">
        <v>0.02000980241876335</v>
      </c>
      <c r="E357" s="139">
        <v>1.3222192947339193</v>
      </c>
      <c r="F357" s="67" t="s">
        <v>805</v>
      </c>
      <c r="G357" s="67" t="b">
        <v>0</v>
      </c>
      <c r="H357" s="67" t="b">
        <v>0</v>
      </c>
      <c r="I357" s="67" t="b">
        <v>0</v>
      </c>
      <c r="J357" s="67" t="b">
        <v>0</v>
      </c>
      <c r="K357" s="67" t="b">
        <v>0</v>
      </c>
      <c r="L357" s="67" t="b">
        <v>0</v>
      </c>
    </row>
    <row r="358" spans="1:12" ht="15">
      <c r="A358" s="136" t="s">
        <v>2066</v>
      </c>
      <c r="B358" s="67" t="s">
        <v>2217</v>
      </c>
      <c r="C358" s="67">
        <v>2</v>
      </c>
      <c r="D358" s="139">
        <v>0.02000980241876335</v>
      </c>
      <c r="E358" s="139">
        <v>1.4983105537896007</v>
      </c>
      <c r="F358" s="67" t="s">
        <v>805</v>
      </c>
      <c r="G358" s="67" t="b">
        <v>0</v>
      </c>
      <c r="H358" s="67" t="b">
        <v>0</v>
      </c>
      <c r="I358" s="67" t="b">
        <v>0</v>
      </c>
      <c r="J358" s="67" t="b">
        <v>0</v>
      </c>
      <c r="K358" s="67" t="b">
        <v>0</v>
      </c>
      <c r="L358" s="67" t="b">
        <v>0</v>
      </c>
    </row>
    <row r="359" spans="1:12" ht="15">
      <c r="A359" s="136" t="s">
        <v>1824</v>
      </c>
      <c r="B359" s="67" t="s">
        <v>913</v>
      </c>
      <c r="C359" s="67">
        <v>2</v>
      </c>
      <c r="D359" s="139">
        <v>0.02000980241876335</v>
      </c>
      <c r="E359" s="139">
        <v>1.4983105537896007</v>
      </c>
      <c r="F359" s="67" t="s">
        <v>805</v>
      </c>
      <c r="G359" s="67" t="b">
        <v>0</v>
      </c>
      <c r="H359" s="67" t="b">
        <v>0</v>
      </c>
      <c r="I359" s="67" t="b">
        <v>0</v>
      </c>
      <c r="J359" s="67" t="b">
        <v>0</v>
      </c>
      <c r="K359" s="67" t="b">
        <v>0</v>
      </c>
      <c r="L359" s="67" t="b">
        <v>0</v>
      </c>
    </row>
    <row r="360" spans="1:12" ht="15">
      <c r="A360" s="136" t="s">
        <v>1830</v>
      </c>
      <c r="B360" s="67" t="s">
        <v>1828</v>
      </c>
      <c r="C360" s="67">
        <v>2</v>
      </c>
      <c r="D360" s="139">
        <v>0.02000980241876335</v>
      </c>
      <c r="E360" s="139">
        <v>1.4983105537896007</v>
      </c>
      <c r="F360" s="67" t="s">
        <v>805</v>
      </c>
      <c r="G360" s="67" t="b">
        <v>0</v>
      </c>
      <c r="H360" s="67" t="b">
        <v>0</v>
      </c>
      <c r="I360" s="67" t="b">
        <v>0</v>
      </c>
      <c r="J360" s="67" t="b">
        <v>0</v>
      </c>
      <c r="K360" s="67" t="b">
        <v>0</v>
      </c>
      <c r="L360" s="67" t="b">
        <v>0</v>
      </c>
    </row>
    <row r="361" spans="1:12" ht="15">
      <c r="A361" s="136" t="s">
        <v>2219</v>
      </c>
      <c r="B361" s="67" t="s">
        <v>2111</v>
      </c>
      <c r="C361" s="67">
        <v>2</v>
      </c>
      <c r="D361" s="139">
        <v>0.02000980241876335</v>
      </c>
      <c r="E361" s="139">
        <v>1.4983105537896007</v>
      </c>
      <c r="F361" s="67" t="s">
        <v>805</v>
      </c>
      <c r="G361" s="67" t="b">
        <v>0</v>
      </c>
      <c r="H361" s="67" t="b">
        <v>0</v>
      </c>
      <c r="I361" s="67" t="b">
        <v>0</v>
      </c>
      <c r="J361" s="67" t="b">
        <v>0</v>
      </c>
      <c r="K361" s="67" t="b">
        <v>0</v>
      </c>
      <c r="L361" s="67" t="b">
        <v>0</v>
      </c>
    </row>
    <row r="362" spans="1:12" ht="15">
      <c r="A362" s="136" t="s">
        <v>2126</v>
      </c>
      <c r="B362" s="67" t="s">
        <v>2067</v>
      </c>
      <c r="C362" s="67">
        <v>2</v>
      </c>
      <c r="D362" s="139">
        <v>0.02000980241876335</v>
      </c>
      <c r="E362" s="139">
        <v>1.4983105537896007</v>
      </c>
      <c r="F362" s="67" t="s">
        <v>805</v>
      </c>
      <c r="G362" s="67" t="b">
        <v>0</v>
      </c>
      <c r="H362" s="67" t="b">
        <v>0</v>
      </c>
      <c r="I362" s="67" t="b">
        <v>0</v>
      </c>
      <c r="J362" s="67" t="b">
        <v>0</v>
      </c>
      <c r="K362" s="67" t="b">
        <v>0</v>
      </c>
      <c r="L362" s="67" t="b">
        <v>0</v>
      </c>
    </row>
    <row r="363" spans="1:12" ht="15">
      <c r="A363" s="136" t="s">
        <v>2231</v>
      </c>
      <c r="B363" s="67" t="s">
        <v>2123</v>
      </c>
      <c r="C363" s="67">
        <v>2</v>
      </c>
      <c r="D363" s="139">
        <v>0.02000980241876335</v>
      </c>
      <c r="E363" s="139">
        <v>1.4983105537896007</v>
      </c>
      <c r="F363" s="67" t="s">
        <v>805</v>
      </c>
      <c r="G363" s="67" t="b">
        <v>0</v>
      </c>
      <c r="H363" s="67" t="b">
        <v>0</v>
      </c>
      <c r="I363" s="67" t="b">
        <v>0</v>
      </c>
      <c r="J363" s="67" t="b">
        <v>0</v>
      </c>
      <c r="K363" s="67" t="b">
        <v>0</v>
      </c>
      <c r="L363" s="67" t="b">
        <v>0</v>
      </c>
    </row>
    <row r="364" spans="1:12" ht="15">
      <c r="A364" s="136" t="s">
        <v>2214</v>
      </c>
      <c r="B364" s="67" t="s">
        <v>1827</v>
      </c>
      <c r="C364" s="67">
        <v>2</v>
      </c>
      <c r="D364" s="139">
        <v>0.02000980241876335</v>
      </c>
      <c r="E364" s="139">
        <v>1.4983105537896007</v>
      </c>
      <c r="F364" s="67" t="s">
        <v>805</v>
      </c>
      <c r="G364" s="67" t="b">
        <v>0</v>
      </c>
      <c r="H364" s="67" t="b">
        <v>0</v>
      </c>
      <c r="I364" s="67" t="b">
        <v>0</v>
      </c>
      <c r="J364" s="67" t="b">
        <v>0</v>
      </c>
      <c r="K364" s="67" t="b">
        <v>0</v>
      </c>
      <c r="L364" s="67" t="b">
        <v>0</v>
      </c>
    </row>
    <row r="365" spans="1:12" ht="15">
      <c r="A365" s="136" t="s">
        <v>1826</v>
      </c>
      <c r="B365" s="67" t="s">
        <v>1825</v>
      </c>
      <c r="C365" s="67">
        <v>2</v>
      </c>
      <c r="D365" s="139">
        <v>0.02000980241876335</v>
      </c>
      <c r="E365" s="139">
        <v>1.1461280356782382</v>
      </c>
      <c r="F365" s="67" t="s">
        <v>805</v>
      </c>
      <c r="G365" s="67" t="b">
        <v>0</v>
      </c>
      <c r="H365" s="67" t="b">
        <v>0</v>
      </c>
      <c r="I365" s="67" t="b">
        <v>0</v>
      </c>
      <c r="J365" s="67" t="b">
        <v>0</v>
      </c>
      <c r="K365" s="67" t="b">
        <v>0</v>
      </c>
      <c r="L365" s="67" t="b">
        <v>0</v>
      </c>
    </row>
    <row r="366" spans="1:12" ht="15">
      <c r="A366" s="136" t="s">
        <v>2067</v>
      </c>
      <c r="B366" s="67" t="s">
        <v>1830</v>
      </c>
      <c r="C366" s="67">
        <v>2</v>
      </c>
      <c r="D366" s="139">
        <v>0.02000980241876335</v>
      </c>
      <c r="E366" s="139">
        <v>1.4983105537896007</v>
      </c>
      <c r="F366" s="67" t="s">
        <v>805</v>
      </c>
      <c r="G366" s="67" t="b">
        <v>0</v>
      </c>
      <c r="H366" s="67" t="b">
        <v>0</v>
      </c>
      <c r="I366" s="67" t="b">
        <v>0</v>
      </c>
      <c r="J366" s="67" t="b">
        <v>0</v>
      </c>
      <c r="K366" s="67" t="b">
        <v>0</v>
      </c>
      <c r="L366" s="67" t="b">
        <v>0</v>
      </c>
    </row>
    <row r="367" spans="1:12" ht="15">
      <c r="A367" s="136" t="s">
        <v>942</v>
      </c>
      <c r="B367" s="67" t="s">
        <v>941</v>
      </c>
      <c r="C367" s="67">
        <v>2</v>
      </c>
      <c r="D367" s="139">
        <v>0</v>
      </c>
      <c r="E367" s="139">
        <v>0.7781512503836436</v>
      </c>
      <c r="F367" s="67" t="s">
        <v>807</v>
      </c>
      <c r="G367" s="67" t="b">
        <v>0</v>
      </c>
      <c r="H367" s="67" t="b">
        <v>0</v>
      </c>
      <c r="I367" s="67" t="b">
        <v>0</v>
      </c>
      <c r="J367" s="67" t="b">
        <v>0</v>
      </c>
      <c r="K367" s="67" t="b">
        <v>0</v>
      </c>
      <c r="L367" s="67" t="b">
        <v>0</v>
      </c>
    </row>
    <row r="368" spans="1:12" ht="15">
      <c r="A368" s="136" t="s">
        <v>333</v>
      </c>
      <c r="B368" s="67" t="s">
        <v>942</v>
      </c>
      <c r="C368" s="67">
        <v>2</v>
      </c>
      <c r="D368" s="139">
        <v>0</v>
      </c>
      <c r="E368" s="139">
        <v>0.7781512503836436</v>
      </c>
      <c r="F368" s="67" t="s">
        <v>807</v>
      </c>
      <c r="G368" s="67" t="b">
        <v>0</v>
      </c>
      <c r="H368" s="67" t="b">
        <v>0</v>
      </c>
      <c r="I368" s="67" t="b">
        <v>0</v>
      </c>
      <c r="J368" s="67" t="b">
        <v>0</v>
      </c>
      <c r="K368" s="67" t="b">
        <v>0</v>
      </c>
      <c r="L368" s="67" t="b">
        <v>0</v>
      </c>
    </row>
    <row r="369" spans="1:12" ht="15">
      <c r="A369" s="136" t="s">
        <v>2090</v>
      </c>
      <c r="B369" s="67" t="s">
        <v>308</v>
      </c>
      <c r="C369" s="67">
        <v>2</v>
      </c>
      <c r="D369" s="139">
        <v>0.009088023899422143</v>
      </c>
      <c r="E369" s="139">
        <v>1.6946051989335686</v>
      </c>
      <c r="F369" s="67" t="s">
        <v>808</v>
      </c>
      <c r="G369" s="67" t="b">
        <v>0</v>
      </c>
      <c r="H369" s="67" t="b">
        <v>0</v>
      </c>
      <c r="I369" s="67" t="b">
        <v>0</v>
      </c>
      <c r="J369" s="67" t="b">
        <v>0</v>
      </c>
      <c r="K369" s="67" t="b">
        <v>0</v>
      </c>
      <c r="L369" s="67" t="b">
        <v>0</v>
      </c>
    </row>
    <row r="370" spans="1:12" ht="15">
      <c r="A370" s="136" t="s">
        <v>2160</v>
      </c>
      <c r="B370" s="67" t="s">
        <v>2100</v>
      </c>
      <c r="C370" s="67">
        <v>2</v>
      </c>
      <c r="D370" s="139">
        <v>0.009088023899422143</v>
      </c>
      <c r="E370" s="139">
        <v>1.6946051989335686</v>
      </c>
      <c r="F370" s="67" t="s">
        <v>808</v>
      </c>
      <c r="G370" s="67" t="b">
        <v>0</v>
      </c>
      <c r="H370" s="67" t="b">
        <v>0</v>
      </c>
      <c r="I370" s="67" t="b">
        <v>0</v>
      </c>
      <c r="J370" s="67" t="b">
        <v>0</v>
      </c>
      <c r="K370" s="67" t="b">
        <v>0</v>
      </c>
      <c r="L370" s="67" t="b">
        <v>0</v>
      </c>
    </row>
    <row r="371" spans="1:12" ht="15">
      <c r="A371" s="136" t="s">
        <v>1830</v>
      </c>
      <c r="B371" s="67" t="s">
        <v>1835</v>
      </c>
      <c r="C371" s="67">
        <v>2</v>
      </c>
      <c r="D371" s="139">
        <v>0.009088023899422143</v>
      </c>
      <c r="E371" s="139">
        <v>1.5185139398778875</v>
      </c>
      <c r="F371" s="67" t="s">
        <v>808</v>
      </c>
      <c r="G371" s="67" t="b">
        <v>0</v>
      </c>
      <c r="H371" s="67" t="b">
        <v>0</v>
      </c>
      <c r="I371" s="67" t="b">
        <v>0</v>
      </c>
      <c r="J371" s="67" t="b">
        <v>0</v>
      </c>
      <c r="K371" s="67" t="b">
        <v>0</v>
      </c>
      <c r="L371" s="67" t="b">
        <v>0</v>
      </c>
    </row>
    <row r="372" spans="1:12" ht="15">
      <c r="A372" s="136" t="s">
        <v>1837</v>
      </c>
      <c r="B372" s="67" t="s">
        <v>1840</v>
      </c>
      <c r="C372" s="67">
        <v>2</v>
      </c>
      <c r="D372" s="139">
        <v>0.009088023899422143</v>
      </c>
      <c r="E372" s="139">
        <v>1.6946051989335686</v>
      </c>
      <c r="F372" s="67" t="s">
        <v>808</v>
      </c>
      <c r="G372" s="67" t="b">
        <v>0</v>
      </c>
      <c r="H372" s="67" t="b">
        <v>0</v>
      </c>
      <c r="I372" s="67" t="b">
        <v>0</v>
      </c>
      <c r="J372" s="67" t="b">
        <v>0</v>
      </c>
      <c r="K372" s="67" t="b">
        <v>0</v>
      </c>
      <c r="L372" s="67" t="b">
        <v>0</v>
      </c>
    </row>
    <row r="373" spans="1:12" ht="15">
      <c r="A373" s="136" t="s">
        <v>2086</v>
      </c>
      <c r="B373" s="67" t="s">
        <v>2085</v>
      </c>
      <c r="C373" s="67">
        <v>2</v>
      </c>
      <c r="D373" s="139">
        <v>0.009088023899422143</v>
      </c>
      <c r="E373" s="139">
        <v>1.6946051989335686</v>
      </c>
      <c r="F373" s="67" t="s">
        <v>808</v>
      </c>
      <c r="G373" s="67" t="b">
        <v>0</v>
      </c>
      <c r="H373" s="67" t="b">
        <v>0</v>
      </c>
      <c r="I373" s="67" t="b">
        <v>0</v>
      </c>
      <c r="J373" s="67" t="b">
        <v>0</v>
      </c>
      <c r="K373" s="67" t="b">
        <v>0</v>
      </c>
      <c r="L373" s="67" t="b">
        <v>0</v>
      </c>
    </row>
    <row r="374" spans="1:12" ht="15">
      <c r="A374" s="136" t="s">
        <v>2091</v>
      </c>
      <c r="B374" s="67" t="s">
        <v>1842</v>
      </c>
      <c r="C374" s="67">
        <v>2</v>
      </c>
      <c r="D374" s="139">
        <v>0.009088023899422143</v>
      </c>
      <c r="E374" s="139">
        <v>1.6946051989335686</v>
      </c>
      <c r="F374" s="67" t="s">
        <v>808</v>
      </c>
      <c r="G374" s="67" t="b">
        <v>0</v>
      </c>
      <c r="H374" s="67" t="b">
        <v>0</v>
      </c>
      <c r="I374" s="67" t="b">
        <v>0</v>
      </c>
      <c r="J374" s="67" t="b">
        <v>0</v>
      </c>
      <c r="K374" s="67" t="b">
        <v>0</v>
      </c>
      <c r="L374" s="67" t="b">
        <v>0</v>
      </c>
    </row>
    <row r="375" spans="1:12" ht="15">
      <c r="A375" s="136" t="s">
        <v>2087</v>
      </c>
      <c r="B375" s="67" t="s">
        <v>2062</v>
      </c>
      <c r="C375" s="67">
        <v>2</v>
      </c>
      <c r="D375" s="139">
        <v>0.009088023899422143</v>
      </c>
      <c r="E375" s="139">
        <v>1.6946051989335686</v>
      </c>
      <c r="F375" s="67" t="s">
        <v>808</v>
      </c>
      <c r="G375" s="67" t="b">
        <v>0</v>
      </c>
      <c r="H375" s="67" t="b">
        <v>0</v>
      </c>
      <c r="I375" s="67" t="b">
        <v>0</v>
      </c>
      <c r="J375" s="67" t="b">
        <v>0</v>
      </c>
      <c r="K375" s="67" t="b">
        <v>0</v>
      </c>
      <c r="L375" s="67" t="b">
        <v>0</v>
      </c>
    </row>
    <row r="376" spans="1:12" ht="15">
      <c r="A376" s="136" t="s">
        <v>2173</v>
      </c>
      <c r="B376" s="67" t="s">
        <v>2187</v>
      </c>
      <c r="C376" s="67">
        <v>2</v>
      </c>
      <c r="D376" s="139">
        <v>0.009088023899422143</v>
      </c>
      <c r="E376" s="139">
        <v>1.6946051989335686</v>
      </c>
      <c r="F376" s="67" t="s">
        <v>808</v>
      </c>
      <c r="G376" s="67" t="b">
        <v>0</v>
      </c>
      <c r="H376" s="67" t="b">
        <v>0</v>
      </c>
      <c r="I376" s="67" t="b">
        <v>0</v>
      </c>
      <c r="J376" s="67" t="b">
        <v>0</v>
      </c>
      <c r="K376" s="67" t="b">
        <v>0</v>
      </c>
      <c r="L376" s="67" t="b">
        <v>0</v>
      </c>
    </row>
    <row r="377" spans="1:12" ht="15">
      <c r="A377" s="136" t="s">
        <v>2056</v>
      </c>
      <c r="B377" s="67" t="s">
        <v>1830</v>
      </c>
      <c r="C377" s="67">
        <v>2</v>
      </c>
      <c r="D377" s="139">
        <v>0.009088023899422143</v>
      </c>
      <c r="E377" s="139">
        <v>1.6946051989335686</v>
      </c>
      <c r="F377" s="67" t="s">
        <v>808</v>
      </c>
      <c r="G377" s="67" t="b">
        <v>0</v>
      </c>
      <c r="H377" s="67" t="b">
        <v>0</v>
      </c>
      <c r="I377" s="67" t="b">
        <v>0</v>
      </c>
      <c r="J377" s="67" t="b">
        <v>0</v>
      </c>
      <c r="K377" s="67" t="b">
        <v>0</v>
      </c>
      <c r="L377" s="67" t="b">
        <v>0</v>
      </c>
    </row>
    <row r="378" spans="1:12" ht="15">
      <c r="A378" s="136" t="s">
        <v>1833</v>
      </c>
      <c r="B378" s="67" t="s">
        <v>2160</v>
      </c>
      <c r="C378" s="67">
        <v>2</v>
      </c>
      <c r="D378" s="139">
        <v>0.009088023899422143</v>
      </c>
      <c r="E378" s="139">
        <v>1.5185139398778875</v>
      </c>
      <c r="F378" s="67" t="s">
        <v>808</v>
      </c>
      <c r="G378" s="67" t="b">
        <v>0</v>
      </c>
      <c r="H378" s="67" t="b">
        <v>0</v>
      </c>
      <c r="I378" s="67" t="b">
        <v>0</v>
      </c>
      <c r="J378" s="67" t="b">
        <v>0</v>
      </c>
      <c r="K378" s="67" t="b">
        <v>0</v>
      </c>
      <c r="L378" s="67" t="b">
        <v>0</v>
      </c>
    </row>
    <row r="379" spans="1:12" ht="15">
      <c r="A379" s="136" t="s">
        <v>2085</v>
      </c>
      <c r="B379" s="67" t="s">
        <v>2077</v>
      </c>
      <c r="C379" s="67">
        <v>2</v>
      </c>
      <c r="D379" s="139">
        <v>0.009088023899422143</v>
      </c>
      <c r="E379" s="139">
        <v>1.6946051989335686</v>
      </c>
      <c r="F379" s="67" t="s">
        <v>808</v>
      </c>
      <c r="G379" s="67" t="b">
        <v>0</v>
      </c>
      <c r="H379" s="67" t="b">
        <v>0</v>
      </c>
      <c r="I379" s="67" t="b">
        <v>0</v>
      </c>
      <c r="J379" s="67" t="b">
        <v>0</v>
      </c>
      <c r="K379" s="67" t="b">
        <v>0</v>
      </c>
      <c r="L379" s="67" t="b">
        <v>0</v>
      </c>
    </row>
    <row r="380" spans="1:12" ht="15">
      <c r="A380" s="136" t="s">
        <v>2084</v>
      </c>
      <c r="B380" s="67" t="s">
        <v>1839</v>
      </c>
      <c r="C380" s="67">
        <v>2</v>
      </c>
      <c r="D380" s="139">
        <v>0.009088023899422143</v>
      </c>
      <c r="E380" s="139">
        <v>1.6946051989335686</v>
      </c>
      <c r="F380" s="67" t="s">
        <v>808</v>
      </c>
      <c r="G380" s="67" t="b">
        <v>0</v>
      </c>
      <c r="H380" s="67" t="b">
        <v>0</v>
      </c>
      <c r="I380" s="67" t="b">
        <v>0</v>
      </c>
      <c r="J380" s="67" t="b">
        <v>0</v>
      </c>
      <c r="K380" s="67" t="b">
        <v>0</v>
      </c>
      <c r="L380" s="67" t="b">
        <v>0</v>
      </c>
    </row>
    <row r="381" spans="1:12" ht="15">
      <c r="A381" s="136" t="s">
        <v>2070</v>
      </c>
      <c r="B381" s="67" t="s">
        <v>1841</v>
      </c>
      <c r="C381" s="67">
        <v>2</v>
      </c>
      <c r="D381" s="139">
        <v>0.009088023899422143</v>
      </c>
      <c r="E381" s="139">
        <v>1.6946051989335686</v>
      </c>
      <c r="F381" s="67" t="s">
        <v>808</v>
      </c>
      <c r="G381" s="67" t="b">
        <v>0</v>
      </c>
      <c r="H381" s="67" t="b">
        <v>0</v>
      </c>
      <c r="I381" s="67" t="b">
        <v>0</v>
      </c>
      <c r="J381" s="67" t="b">
        <v>0</v>
      </c>
      <c r="K381" s="67" t="b">
        <v>0</v>
      </c>
      <c r="L381" s="67" t="b">
        <v>0</v>
      </c>
    </row>
    <row r="382" spans="1:12" ht="15">
      <c r="A382" s="136" t="s">
        <v>2081</v>
      </c>
      <c r="B382" s="67" t="s">
        <v>1834</v>
      </c>
      <c r="C382" s="67">
        <v>2</v>
      </c>
      <c r="D382" s="139">
        <v>0.009088023899422143</v>
      </c>
      <c r="E382" s="139">
        <v>1.5185139398778875</v>
      </c>
      <c r="F382" s="67" t="s">
        <v>808</v>
      </c>
      <c r="G382" s="67" t="b">
        <v>0</v>
      </c>
      <c r="H382" s="67" t="b">
        <v>0</v>
      </c>
      <c r="I382" s="67" t="b">
        <v>0</v>
      </c>
      <c r="J382" s="67" t="b">
        <v>0</v>
      </c>
      <c r="K382" s="67" t="b">
        <v>0</v>
      </c>
      <c r="L382" s="67" t="b">
        <v>0</v>
      </c>
    </row>
    <row r="383" spans="1:12" ht="15">
      <c r="A383" s="136" t="s">
        <v>2076</v>
      </c>
      <c r="B383" s="67" t="s">
        <v>2104</v>
      </c>
      <c r="C383" s="67">
        <v>2</v>
      </c>
      <c r="D383" s="139">
        <v>0.009088023899422143</v>
      </c>
      <c r="E383" s="139">
        <v>1.6946051989335686</v>
      </c>
      <c r="F383" s="67" t="s">
        <v>808</v>
      </c>
      <c r="G383" s="67" t="b">
        <v>0</v>
      </c>
      <c r="H383" s="67" t="b">
        <v>0</v>
      </c>
      <c r="I383" s="67" t="b">
        <v>0</v>
      </c>
      <c r="J383" s="67" t="b">
        <v>0</v>
      </c>
      <c r="K383" s="67" t="b">
        <v>0</v>
      </c>
      <c r="L383" s="67" t="b">
        <v>0</v>
      </c>
    </row>
    <row r="384" spans="1:12" ht="15">
      <c r="A384" s="136" t="s">
        <v>308</v>
      </c>
      <c r="B384" s="67" t="s">
        <v>2091</v>
      </c>
      <c r="C384" s="67">
        <v>2</v>
      </c>
      <c r="D384" s="139">
        <v>0.009088023899422143</v>
      </c>
      <c r="E384" s="139">
        <v>1.6946051989335686</v>
      </c>
      <c r="F384" s="67" t="s">
        <v>808</v>
      </c>
      <c r="G384" s="67" t="b">
        <v>0</v>
      </c>
      <c r="H384" s="67" t="b">
        <v>0</v>
      </c>
      <c r="I384" s="67" t="b">
        <v>0</v>
      </c>
      <c r="J384" s="67" t="b">
        <v>0</v>
      </c>
      <c r="K384" s="67" t="b">
        <v>0</v>
      </c>
      <c r="L384" s="67" t="b">
        <v>0</v>
      </c>
    </row>
    <row r="385" spans="1:12" ht="15">
      <c r="A385" s="136" t="s">
        <v>2187</v>
      </c>
      <c r="B385" s="67" t="s">
        <v>2230</v>
      </c>
      <c r="C385" s="67">
        <v>2</v>
      </c>
      <c r="D385" s="139">
        <v>0.009088023899422143</v>
      </c>
      <c r="E385" s="139">
        <v>1.6946051989335686</v>
      </c>
      <c r="F385" s="67" t="s">
        <v>808</v>
      </c>
      <c r="G385" s="67" t="b">
        <v>0</v>
      </c>
      <c r="H385" s="67" t="b">
        <v>0</v>
      </c>
      <c r="I385" s="67" t="b">
        <v>0</v>
      </c>
      <c r="J385" s="67" t="b">
        <v>0</v>
      </c>
      <c r="K385" s="67" t="b">
        <v>0</v>
      </c>
      <c r="L385" s="67" t="b">
        <v>0</v>
      </c>
    </row>
    <row r="386" spans="1:12" ht="15">
      <c r="A386" s="136" t="s">
        <v>1839</v>
      </c>
      <c r="B386" s="67" t="s">
        <v>2203</v>
      </c>
      <c r="C386" s="67">
        <v>2</v>
      </c>
      <c r="D386" s="139">
        <v>0.009088023899422143</v>
      </c>
      <c r="E386" s="139">
        <v>1.6946051989335686</v>
      </c>
      <c r="F386" s="67" t="s">
        <v>808</v>
      </c>
      <c r="G386" s="67" t="b">
        <v>0</v>
      </c>
      <c r="H386" s="67" t="b">
        <v>0</v>
      </c>
      <c r="I386" s="67" t="b">
        <v>0</v>
      </c>
      <c r="J386" s="67" t="b">
        <v>0</v>
      </c>
      <c r="K386" s="67" t="b">
        <v>0</v>
      </c>
      <c r="L386" s="67" t="b">
        <v>0</v>
      </c>
    </row>
    <row r="387" spans="1:12" ht="15">
      <c r="A387" s="136" t="s">
        <v>1840</v>
      </c>
      <c r="B387" s="67" t="s">
        <v>1838</v>
      </c>
      <c r="C387" s="67">
        <v>2</v>
      </c>
      <c r="D387" s="139">
        <v>0.009088023899422143</v>
      </c>
      <c r="E387" s="139">
        <v>1.6946051989335686</v>
      </c>
      <c r="F387" s="67" t="s">
        <v>808</v>
      </c>
      <c r="G387" s="67" t="b">
        <v>0</v>
      </c>
      <c r="H387" s="67" t="b">
        <v>0</v>
      </c>
      <c r="I387" s="67" t="b">
        <v>0</v>
      </c>
      <c r="J387" s="67" t="b">
        <v>0</v>
      </c>
      <c r="K387" s="67" t="b">
        <v>0</v>
      </c>
      <c r="L387" s="67" t="b">
        <v>0</v>
      </c>
    </row>
    <row r="388" spans="1:12" ht="15">
      <c r="A388" s="136" t="s">
        <v>2204</v>
      </c>
      <c r="B388" s="67" t="s">
        <v>2080</v>
      </c>
      <c r="C388" s="67">
        <v>2</v>
      </c>
      <c r="D388" s="139">
        <v>0.009088023899422143</v>
      </c>
      <c r="E388" s="139">
        <v>1.6946051989335686</v>
      </c>
      <c r="F388" s="67" t="s">
        <v>808</v>
      </c>
      <c r="G388" s="67" t="b">
        <v>0</v>
      </c>
      <c r="H388" s="67" t="b">
        <v>0</v>
      </c>
      <c r="I388" s="67" t="b">
        <v>0</v>
      </c>
      <c r="J388" s="67" t="b">
        <v>0</v>
      </c>
      <c r="K388" s="67" t="b">
        <v>0</v>
      </c>
      <c r="L388" s="67" t="b">
        <v>0</v>
      </c>
    </row>
    <row r="389" spans="1:12" ht="15">
      <c r="A389" s="136" t="s">
        <v>2064</v>
      </c>
      <c r="B389" s="67" t="s">
        <v>2149</v>
      </c>
      <c r="C389" s="67">
        <v>2</v>
      </c>
      <c r="D389" s="139">
        <v>0.009088023899422143</v>
      </c>
      <c r="E389" s="139">
        <v>1.6946051989335686</v>
      </c>
      <c r="F389" s="67" t="s">
        <v>808</v>
      </c>
      <c r="G389" s="67" t="b">
        <v>0</v>
      </c>
      <c r="H389" s="67" t="b">
        <v>0</v>
      </c>
      <c r="I389" s="67" t="b">
        <v>0</v>
      </c>
      <c r="J389" s="67" t="b">
        <v>0</v>
      </c>
      <c r="K389" s="67" t="b">
        <v>0</v>
      </c>
      <c r="L389" s="67" t="b">
        <v>0</v>
      </c>
    </row>
    <row r="390" spans="1:12" ht="15">
      <c r="A390" s="136" t="s">
        <v>2199</v>
      </c>
      <c r="B390" s="67" t="s">
        <v>2070</v>
      </c>
      <c r="C390" s="67">
        <v>2</v>
      </c>
      <c r="D390" s="139">
        <v>0.009088023899422143</v>
      </c>
      <c r="E390" s="139">
        <v>1.6946051989335686</v>
      </c>
      <c r="F390" s="67" t="s">
        <v>808</v>
      </c>
      <c r="G390" s="67" t="b">
        <v>0</v>
      </c>
      <c r="H390" s="67" t="b">
        <v>0</v>
      </c>
      <c r="I390" s="67" t="b">
        <v>0</v>
      </c>
      <c r="J390" s="67" t="b">
        <v>0</v>
      </c>
      <c r="K390" s="67" t="b">
        <v>0</v>
      </c>
      <c r="L390" s="67" t="b">
        <v>0</v>
      </c>
    </row>
    <row r="391" spans="1:12" ht="15">
      <c r="A391" s="136" t="s">
        <v>2080</v>
      </c>
      <c r="B391" s="67" t="s">
        <v>2056</v>
      </c>
      <c r="C391" s="67">
        <v>2</v>
      </c>
      <c r="D391" s="139">
        <v>0.009088023899422143</v>
      </c>
      <c r="E391" s="139">
        <v>1.6946051989335686</v>
      </c>
      <c r="F391" s="67" t="s">
        <v>808</v>
      </c>
      <c r="G391" s="67" t="b">
        <v>0</v>
      </c>
      <c r="H391" s="67" t="b">
        <v>0</v>
      </c>
      <c r="I391" s="67" t="b">
        <v>0</v>
      </c>
      <c r="J391" s="67" t="b">
        <v>0</v>
      </c>
      <c r="K391" s="67" t="b">
        <v>0</v>
      </c>
      <c r="L391" s="67" t="b">
        <v>0</v>
      </c>
    </row>
    <row r="392" spans="1:12" ht="15">
      <c r="A392" s="136" t="s">
        <v>2062</v>
      </c>
      <c r="B392" s="67" t="s">
        <v>2199</v>
      </c>
      <c r="C392" s="67">
        <v>2</v>
      </c>
      <c r="D392" s="139">
        <v>0.009088023899422143</v>
      </c>
      <c r="E392" s="139">
        <v>1.6946051989335686</v>
      </c>
      <c r="F392" s="67" t="s">
        <v>808</v>
      </c>
      <c r="G392" s="67" t="b">
        <v>0</v>
      </c>
      <c r="H392" s="67" t="b">
        <v>0</v>
      </c>
      <c r="I392" s="67" t="b">
        <v>0</v>
      </c>
      <c r="J392" s="67" t="b">
        <v>0</v>
      </c>
      <c r="K392" s="67" t="b">
        <v>0</v>
      </c>
      <c r="L392" s="67" t="b">
        <v>0</v>
      </c>
    </row>
    <row r="393" spans="1:12" ht="15">
      <c r="A393" s="136" t="s">
        <v>1834</v>
      </c>
      <c r="B393" s="67" t="s">
        <v>1836</v>
      </c>
      <c r="C393" s="67">
        <v>2</v>
      </c>
      <c r="D393" s="139">
        <v>0.009088023899422143</v>
      </c>
      <c r="E393" s="139">
        <v>1.6946051989335686</v>
      </c>
      <c r="F393" s="67" t="s">
        <v>808</v>
      </c>
      <c r="G393" s="67" t="b">
        <v>0</v>
      </c>
      <c r="H393" s="67" t="b">
        <v>0</v>
      </c>
      <c r="I393" s="67" t="b">
        <v>0</v>
      </c>
      <c r="J393" s="67" t="b">
        <v>0</v>
      </c>
      <c r="K393" s="67" t="b">
        <v>0</v>
      </c>
      <c r="L393" s="67" t="b">
        <v>0</v>
      </c>
    </row>
    <row r="394" spans="1:12" ht="15">
      <c r="A394" s="136" t="s">
        <v>1836</v>
      </c>
      <c r="B394" s="67" t="s">
        <v>2204</v>
      </c>
      <c r="C394" s="67">
        <v>2</v>
      </c>
      <c r="D394" s="139">
        <v>0.009088023899422143</v>
      </c>
      <c r="E394" s="139">
        <v>1.6946051989335686</v>
      </c>
      <c r="F394" s="67" t="s">
        <v>808</v>
      </c>
      <c r="G394" s="67" t="b">
        <v>0</v>
      </c>
      <c r="H394" s="67" t="b">
        <v>0</v>
      </c>
      <c r="I394" s="67" t="b">
        <v>0</v>
      </c>
      <c r="J394" s="67" t="b">
        <v>0</v>
      </c>
      <c r="K394" s="67" t="b">
        <v>0</v>
      </c>
      <c r="L394" s="67" t="b">
        <v>0</v>
      </c>
    </row>
    <row r="395" spans="1:12" ht="15">
      <c r="A395" s="136" t="s">
        <v>1842</v>
      </c>
      <c r="B395" s="67" t="s">
        <v>2084</v>
      </c>
      <c r="C395" s="67">
        <v>2</v>
      </c>
      <c r="D395" s="139">
        <v>0.009088023899422143</v>
      </c>
      <c r="E395" s="139">
        <v>1.6946051989335686</v>
      </c>
      <c r="F395" s="67" t="s">
        <v>808</v>
      </c>
      <c r="G395" s="67" t="b">
        <v>0</v>
      </c>
      <c r="H395" s="67" t="b">
        <v>0</v>
      </c>
      <c r="I395" s="67" t="b">
        <v>0</v>
      </c>
      <c r="J395" s="67" t="b">
        <v>0</v>
      </c>
      <c r="K395" s="67" t="b">
        <v>0</v>
      </c>
      <c r="L395" s="67" t="b">
        <v>0</v>
      </c>
    </row>
    <row r="396" spans="1:12" ht="15">
      <c r="A396" s="136" t="s">
        <v>1835</v>
      </c>
      <c r="B396" s="67" t="s">
        <v>2076</v>
      </c>
      <c r="C396" s="67">
        <v>2</v>
      </c>
      <c r="D396" s="139">
        <v>0.009088023899422143</v>
      </c>
      <c r="E396" s="139">
        <v>1.5185139398778875</v>
      </c>
      <c r="F396" s="67" t="s">
        <v>808</v>
      </c>
      <c r="G396" s="67" t="b">
        <v>0</v>
      </c>
      <c r="H396" s="67" t="b">
        <v>0</v>
      </c>
      <c r="I396" s="67" t="b">
        <v>0</v>
      </c>
      <c r="J396" s="67" t="b">
        <v>0</v>
      </c>
      <c r="K396" s="67" t="b">
        <v>0</v>
      </c>
      <c r="L396" s="67" t="b">
        <v>0</v>
      </c>
    </row>
    <row r="397" spans="1:12" ht="15">
      <c r="A397" s="136" t="s">
        <v>2074</v>
      </c>
      <c r="B397" s="67" t="s">
        <v>1833</v>
      </c>
      <c r="C397" s="67">
        <v>2</v>
      </c>
      <c r="D397" s="139">
        <v>0.009088023899422143</v>
      </c>
      <c r="E397" s="139">
        <v>1.5185139398778875</v>
      </c>
      <c r="F397" s="67" t="s">
        <v>808</v>
      </c>
      <c r="G397" s="67" t="b">
        <v>0</v>
      </c>
      <c r="H397" s="67" t="b">
        <v>0</v>
      </c>
      <c r="I397" s="67" t="b">
        <v>0</v>
      </c>
      <c r="J397" s="67" t="b">
        <v>0</v>
      </c>
      <c r="K397" s="67" t="b">
        <v>0</v>
      </c>
      <c r="L397" s="67" t="b">
        <v>0</v>
      </c>
    </row>
    <row r="398" spans="1:12" ht="15">
      <c r="A398" s="136" t="s">
        <v>2104</v>
      </c>
      <c r="B398" s="67" t="s">
        <v>2087</v>
      </c>
      <c r="C398" s="67">
        <v>2</v>
      </c>
      <c r="D398" s="139">
        <v>0.009088023899422143</v>
      </c>
      <c r="E398" s="139">
        <v>1.6946051989335686</v>
      </c>
      <c r="F398" s="67" t="s">
        <v>808</v>
      </c>
      <c r="G398" s="67" t="b">
        <v>0</v>
      </c>
      <c r="H398" s="67" t="b">
        <v>0</v>
      </c>
      <c r="I398" s="67" t="b">
        <v>0</v>
      </c>
      <c r="J398" s="67" t="b">
        <v>0</v>
      </c>
      <c r="K398" s="67" t="b">
        <v>0</v>
      </c>
      <c r="L398" s="67" t="b">
        <v>0</v>
      </c>
    </row>
    <row r="399" spans="1:12" ht="15">
      <c r="A399" s="136" t="s">
        <v>2139</v>
      </c>
      <c r="B399" s="67" t="s">
        <v>2173</v>
      </c>
      <c r="C399" s="67">
        <v>2</v>
      </c>
      <c r="D399" s="139">
        <v>0.009088023899422143</v>
      </c>
      <c r="E399" s="139">
        <v>1.6946051989335686</v>
      </c>
      <c r="F399" s="67" t="s">
        <v>808</v>
      </c>
      <c r="G399" s="67" t="b">
        <v>0</v>
      </c>
      <c r="H399" s="67" t="b">
        <v>0</v>
      </c>
      <c r="I399" s="67" t="b">
        <v>0</v>
      </c>
      <c r="J399" s="67" t="b">
        <v>0</v>
      </c>
      <c r="K399" s="67" t="b">
        <v>0</v>
      </c>
      <c r="L399" s="67" t="b">
        <v>0</v>
      </c>
    </row>
    <row r="400" spans="1:12" ht="15">
      <c r="A400" s="136" t="s">
        <v>2077</v>
      </c>
      <c r="B400" s="67" t="s">
        <v>2090</v>
      </c>
      <c r="C400" s="67">
        <v>2</v>
      </c>
      <c r="D400" s="139">
        <v>0.009088023899422143</v>
      </c>
      <c r="E400" s="139">
        <v>1.6946051989335686</v>
      </c>
      <c r="F400" s="67" t="s">
        <v>808</v>
      </c>
      <c r="G400" s="67" t="b">
        <v>0</v>
      </c>
      <c r="H400" s="67" t="b">
        <v>0</v>
      </c>
      <c r="I400" s="67" t="b">
        <v>0</v>
      </c>
      <c r="J400" s="67" t="b">
        <v>0</v>
      </c>
      <c r="K400" s="67" t="b">
        <v>0</v>
      </c>
      <c r="L400" s="67" t="b">
        <v>0</v>
      </c>
    </row>
    <row r="401" spans="1:12" ht="15">
      <c r="A401" s="136" t="s">
        <v>2100</v>
      </c>
      <c r="B401" s="67" t="s">
        <v>2139</v>
      </c>
      <c r="C401" s="67">
        <v>2</v>
      </c>
      <c r="D401" s="139">
        <v>0.009088023899422143</v>
      </c>
      <c r="E401" s="139">
        <v>1.6946051989335686</v>
      </c>
      <c r="F401" s="67" t="s">
        <v>808</v>
      </c>
      <c r="G401" s="67" t="b">
        <v>0</v>
      </c>
      <c r="H401" s="67" t="b">
        <v>0</v>
      </c>
      <c r="I401" s="67" t="b">
        <v>0</v>
      </c>
      <c r="J401" s="67" t="b">
        <v>0</v>
      </c>
      <c r="K401" s="67" t="b">
        <v>0</v>
      </c>
      <c r="L401" s="67" t="b">
        <v>0</v>
      </c>
    </row>
    <row r="402" spans="1:12" ht="15">
      <c r="A402" s="136" t="s">
        <v>2230</v>
      </c>
      <c r="B402" s="67" t="s">
        <v>2145</v>
      </c>
      <c r="C402" s="67">
        <v>2</v>
      </c>
      <c r="D402" s="139">
        <v>0.009088023899422143</v>
      </c>
      <c r="E402" s="139">
        <v>1.6946051989335686</v>
      </c>
      <c r="F402" s="67" t="s">
        <v>808</v>
      </c>
      <c r="G402" s="67" t="b">
        <v>0</v>
      </c>
      <c r="H402" s="67" t="b">
        <v>0</v>
      </c>
      <c r="I402" s="67" t="b">
        <v>0</v>
      </c>
      <c r="J402" s="67" t="b">
        <v>0</v>
      </c>
      <c r="K402" s="67" t="b">
        <v>0</v>
      </c>
      <c r="L402" s="67" t="b">
        <v>0</v>
      </c>
    </row>
    <row r="403" spans="1:12" ht="15">
      <c r="A403" s="136" t="s">
        <v>2149</v>
      </c>
      <c r="B403" s="67" t="s">
        <v>2086</v>
      </c>
      <c r="C403" s="67">
        <v>2</v>
      </c>
      <c r="D403" s="139">
        <v>0.009088023899422143</v>
      </c>
      <c r="E403" s="139">
        <v>1.6946051989335686</v>
      </c>
      <c r="F403" s="67" t="s">
        <v>808</v>
      </c>
      <c r="G403" s="67" t="b">
        <v>0</v>
      </c>
      <c r="H403" s="67" t="b">
        <v>0</v>
      </c>
      <c r="I403" s="67" t="b">
        <v>0</v>
      </c>
      <c r="J403" s="67" t="b">
        <v>0</v>
      </c>
      <c r="K403" s="67" t="b">
        <v>0</v>
      </c>
      <c r="L403" s="67" t="b">
        <v>0</v>
      </c>
    </row>
    <row r="404" spans="1:12" ht="15">
      <c r="A404" s="136" t="s">
        <v>2145</v>
      </c>
      <c r="B404" s="67" t="s">
        <v>1837</v>
      </c>
      <c r="C404" s="67">
        <v>2</v>
      </c>
      <c r="D404" s="139">
        <v>0.009088023899422143</v>
      </c>
      <c r="E404" s="139">
        <v>1.6946051989335686</v>
      </c>
      <c r="F404" s="67" t="s">
        <v>808</v>
      </c>
      <c r="G404" s="67" t="b">
        <v>0</v>
      </c>
      <c r="H404" s="67" t="b">
        <v>0</v>
      </c>
      <c r="I404" s="67" t="b">
        <v>0</v>
      </c>
      <c r="J404" s="67" t="b">
        <v>0</v>
      </c>
      <c r="K404" s="67" t="b">
        <v>0</v>
      </c>
      <c r="L404" s="67" t="b">
        <v>0</v>
      </c>
    </row>
    <row r="405" spans="1:12" ht="15">
      <c r="A405" s="136" t="s">
        <v>1812</v>
      </c>
      <c r="B405" s="67" t="s">
        <v>1789</v>
      </c>
      <c r="C405" s="67">
        <v>2</v>
      </c>
      <c r="D405" s="139">
        <v>0</v>
      </c>
      <c r="E405" s="139">
        <v>1.0413926851582251</v>
      </c>
      <c r="F405" s="67" t="s">
        <v>809</v>
      </c>
      <c r="G405" s="67" t="b">
        <v>0</v>
      </c>
      <c r="H405" s="67" t="b">
        <v>0</v>
      </c>
      <c r="I405" s="67" t="b">
        <v>0</v>
      </c>
      <c r="J405" s="67" t="b">
        <v>0</v>
      </c>
      <c r="K405" s="67" t="b">
        <v>0</v>
      </c>
      <c r="L405" s="67" t="b">
        <v>0</v>
      </c>
    </row>
    <row r="406" spans="1:12" ht="15">
      <c r="A406" s="136" t="s">
        <v>2227</v>
      </c>
      <c r="B406" s="67" t="s">
        <v>1845</v>
      </c>
      <c r="C406" s="67">
        <v>2</v>
      </c>
      <c r="D406" s="139">
        <v>0</v>
      </c>
      <c r="E406" s="139">
        <v>1.0413926851582251</v>
      </c>
      <c r="F406" s="67" t="s">
        <v>809</v>
      </c>
      <c r="G406" s="67" t="b">
        <v>0</v>
      </c>
      <c r="H406" s="67" t="b">
        <v>0</v>
      </c>
      <c r="I406" s="67" t="b">
        <v>0</v>
      </c>
      <c r="J406" s="67" t="b">
        <v>0</v>
      </c>
      <c r="K406" s="67" t="b">
        <v>0</v>
      </c>
      <c r="L406" s="67" t="b">
        <v>0</v>
      </c>
    </row>
    <row r="407" spans="1:12" ht="15">
      <c r="A407" s="136" t="s">
        <v>1789</v>
      </c>
      <c r="B407" s="67" t="s">
        <v>317</v>
      </c>
      <c r="C407" s="67">
        <v>2</v>
      </c>
      <c r="D407" s="139">
        <v>0</v>
      </c>
      <c r="E407" s="139">
        <v>1.0413926851582251</v>
      </c>
      <c r="F407" s="67" t="s">
        <v>809</v>
      </c>
      <c r="G407" s="67" t="b">
        <v>0</v>
      </c>
      <c r="H407" s="67" t="b">
        <v>0</v>
      </c>
      <c r="I407" s="67" t="b">
        <v>0</v>
      </c>
      <c r="J407" s="67" t="b">
        <v>0</v>
      </c>
      <c r="K407" s="67" t="b">
        <v>0</v>
      </c>
      <c r="L407" s="67" t="b">
        <v>0</v>
      </c>
    </row>
    <row r="408" spans="1:12" ht="15">
      <c r="A408" s="136" t="s">
        <v>1845</v>
      </c>
      <c r="B408" s="67" t="s">
        <v>1844</v>
      </c>
      <c r="C408" s="67">
        <v>2</v>
      </c>
      <c r="D408" s="139">
        <v>0</v>
      </c>
      <c r="E408" s="139">
        <v>1.0413926851582251</v>
      </c>
      <c r="F408" s="67" t="s">
        <v>809</v>
      </c>
      <c r="G408" s="67" t="b">
        <v>0</v>
      </c>
      <c r="H408" s="67" t="b">
        <v>0</v>
      </c>
      <c r="I408" s="67" t="b">
        <v>0</v>
      </c>
      <c r="J408" s="67" t="b">
        <v>0</v>
      </c>
      <c r="K408" s="67" t="b">
        <v>0</v>
      </c>
      <c r="L408" s="67" t="b">
        <v>0</v>
      </c>
    </row>
    <row r="409" spans="1:12" ht="15">
      <c r="A409" s="136" t="s">
        <v>1846</v>
      </c>
      <c r="B409" s="67" t="s">
        <v>1812</v>
      </c>
      <c r="C409" s="67">
        <v>2</v>
      </c>
      <c r="D409" s="139">
        <v>0</v>
      </c>
      <c r="E409" s="139">
        <v>1.0413926851582251</v>
      </c>
      <c r="F409" s="67" t="s">
        <v>809</v>
      </c>
      <c r="G409" s="67" t="b">
        <v>0</v>
      </c>
      <c r="H409" s="67" t="b">
        <v>0</v>
      </c>
      <c r="I409" s="67" t="b">
        <v>0</v>
      </c>
      <c r="J409" s="67" t="b">
        <v>0</v>
      </c>
      <c r="K409" s="67" t="b">
        <v>0</v>
      </c>
      <c r="L409" s="67" t="b">
        <v>0</v>
      </c>
    </row>
    <row r="410" spans="1:12" ht="15">
      <c r="A410" s="136" t="s">
        <v>1848</v>
      </c>
      <c r="B410" s="67" t="s">
        <v>2227</v>
      </c>
      <c r="C410" s="67">
        <v>2</v>
      </c>
      <c r="D410" s="139">
        <v>0</v>
      </c>
      <c r="E410" s="139">
        <v>1.0413926851582251</v>
      </c>
      <c r="F410" s="67" t="s">
        <v>809</v>
      </c>
      <c r="G410" s="67" t="b">
        <v>0</v>
      </c>
      <c r="H410" s="67" t="b">
        <v>0</v>
      </c>
      <c r="I410" s="67" t="b">
        <v>0</v>
      </c>
      <c r="J410" s="67" t="b">
        <v>0</v>
      </c>
      <c r="K410" s="67" t="b">
        <v>0</v>
      </c>
      <c r="L410" s="67" t="b">
        <v>0</v>
      </c>
    </row>
    <row r="411" spans="1:12" ht="15">
      <c r="A411" s="136" t="s">
        <v>1847</v>
      </c>
      <c r="B411" s="67" t="s">
        <v>1849</v>
      </c>
      <c r="C411" s="67">
        <v>2</v>
      </c>
      <c r="D411" s="139">
        <v>0</v>
      </c>
      <c r="E411" s="139">
        <v>1.0413926851582251</v>
      </c>
      <c r="F411" s="67" t="s">
        <v>809</v>
      </c>
      <c r="G411" s="67" t="b">
        <v>0</v>
      </c>
      <c r="H411" s="67" t="b">
        <v>0</v>
      </c>
      <c r="I411" s="67" t="b">
        <v>0</v>
      </c>
      <c r="J411" s="67" t="b">
        <v>0</v>
      </c>
      <c r="K411" s="67" t="b">
        <v>0</v>
      </c>
      <c r="L411" s="67" t="b">
        <v>0</v>
      </c>
    </row>
    <row r="412" spans="1:12" ht="15">
      <c r="A412" s="136" t="s">
        <v>317</v>
      </c>
      <c r="B412" s="67" t="s">
        <v>1843</v>
      </c>
      <c r="C412" s="67">
        <v>2</v>
      </c>
      <c r="D412" s="139">
        <v>0</v>
      </c>
      <c r="E412" s="139">
        <v>1.0413926851582251</v>
      </c>
      <c r="F412" s="67" t="s">
        <v>809</v>
      </c>
      <c r="G412" s="67" t="b">
        <v>0</v>
      </c>
      <c r="H412" s="67" t="b">
        <v>0</v>
      </c>
      <c r="I412" s="67" t="b">
        <v>0</v>
      </c>
      <c r="J412" s="67" t="b">
        <v>0</v>
      </c>
      <c r="K412" s="67" t="b">
        <v>0</v>
      </c>
      <c r="L412" s="67" t="b">
        <v>0</v>
      </c>
    </row>
    <row r="413" spans="1:12" ht="15">
      <c r="A413" s="136" t="s">
        <v>1843</v>
      </c>
      <c r="B413" s="67" t="s">
        <v>1848</v>
      </c>
      <c r="C413" s="67">
        <v>2</v>
      </c>
      <c r="D413" s="139">
        <v>0</v>
      </c>
      <c r="E413" s="139">
        <v>1.0413926851582251</v>
      </c>
      <c r="F413" s="67" t="s">
        <v>809</v>
      </c>
      <c r="G413" s="67" t="b">
        <v>0</v>
      </c>
      <c r="H413" s="67" t="b">
        <v>0</v>
      </c>
      <c r="I413" s="67" t="b">
        <v>0</v>
      </c>
      <c r="J413" s="67" t="b">
        <v>0</v>
      </c>
      <c r="K413" s="67" t="b">
        <v>0</v>
      </c>
      <c r="L413" s="67" t="b">
        <v>0</v>
      </c>
    </row>
    <row r="414" spans="1:12" ht="15">
      <c r="A414" s="136" t="s">
        <v>1849</v>
      </c>
      <c r="B414" s="67" t="s">
        <v>1846</v>
      </c>
      <c r="C414" s="67">
        <v>2</v>
      </c>
      <c r="D414" s="139">
        <v>0</v>
      </c>
      <c r="E414" s="139">
        <v>1.0413926851582251</v>
      </c>
      <c r="F414" s="67" t="s">
        <v>809</v>
      </c>
      <c r="G414" s="67" t="b">
        <v>0</v>
      </c>
      <c r="H414" s="67" t="b">
        <v>0</v>
      </c>
      <c r="I414" s="67" t="b">
        <v>0</v>
      </c>
      <c r="J414" s="67" t="b">
        <v>0</v>
      </c>
      <c r="K414" s="67" t="b">
        <v>0</v>
      </c>
      <c r="L414" s="67" t="b">
        <v>0</v>
      </c>
    </row>
    <row r="415" spans="1:12" ht="15">
      <c r="A415" s="136" t="s">
        <v>2172</v>
      </c>
      <c r="B415" s="67" t="s">
        <v>2131</v>
      </c>
      <c r="C415" s="67">
        <v>2</v>
      </c>
      <c r="D415" s="139">
        <v>0</v>
      </c>
      <c r="E415" s="139">
        <v>0.5440680443502757</v>
      </c>
      <c r="F415" s="67" t="s">
        <v>813</v>
      </c>
      <c r="G415" s="67" t="b">
        <v>0</v>
      </c>
      <c r="H415" s="67" t="b">
        <v>0</v>
      </c>
      <c r="I415" s="67" t="b">
        <v>0</v>
      </c>
      <c r="J415" s="67" t="b">
        <v>0</v>
      </c>
      <c r="K415" s="67" t="b">
        <v>0</v>
      </c>
      <c r="L415" s="67" t="b">
        <v>0</v>
      </c>
    </row>
    <row r="416" spans="1:12" ht="15">
      <c r="A416" s="136" t="s">
        <v>2108</v>
      </c>
      <c r="B416" s="67" t="s">
        <v>2172</v>
      </c>
      <c r="C416" s="67">
        <v>2</v>
      </c>
      <c r="D416" s="139">
        <v>0</v>
      </c>
      <c r="E416" s="139">
        <v>0.5440680443502757</v>
      </c>
      <c r="F416" s="67" t="s">
        <v>813</v>
      </c>
      <c r="G416" s="67" t="b">
        <v>0</v>
      </c>
      <c r="H416" s="67" t="b">
        <v>0</v>
      </c>
      <c r="I416" s="67" t="b">
        <v>0</v>
      </c>
      <c r="J416" s="67" t="b">
        <v>0</v>
      </c>
      <c r="K416" s="67" t="b">
        <v>0</v>
      </c>
      <c r="L416" s="67" t="b">
        <v>0</v>
      </c>
    </row>
    <row r="417" spans="1:12" ht="15">
      <c r="A417" s="136" t="s">
        <v>2095</v>
      </c>
      <c r="B417" s="67" t="s">
        <v>2108</v>
      </c>
      <c r="C417" s="67">
        <v>2</v>
      </c>
      <c r="D417" s="139">
        <v>0</v>
      </c>
      <c r="E417" s="139">
        <v>0.5440680443502757</v>
      </c>
      <c r="F417" s="67" t="s">
        <v>813</v>
      </c>
      <c r="G417" s="67" t="b">
        <v>0</v>
      </c>
      <c r="H417" s="67" t="b">
        <v>0</v>
      </c>
      <c r="I417" s="67" t="b">
        <v>0</v>
      </c>
      <c r="J417" s="67" t="b">
        <v>0</v>
      </c>
      <c r="K417" s="67" t="b">
        <v>0</v>
      </c>
      <c r="L417" s="6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255</v>
      </c>
      <c r="B1" s="13" t="s">
        <v>34</v>
      </c>
    </row>
    <row r="2" spans="1:2" ht="15">
      <c r="A2" s="96" t="s">
        <v>923</v>
      </c>
      <c r="B2" s="63">
        <v>130</v>
      </c>
    </row>
    <row r="3" spans="1:2" ht="15">
      <c r="A3" s="125" t="s">
        <v>333</v>
      </c>
      <c r="B3" s="63">
        <v>110</v>
      </c>
    </row>
    <row r="4" spans="1:2" ht="15">
      <c r="A4" s="125" t="s">
        <v>903</v>
      </c>
      <c r="B4" s="63">
        <v>76</v>
      </c>
    </row>
    <row r="5" spans="1:2" ht="15">
      <c r="A5" s="125" t="s">
        <v>921</v>
      </c>
      <c r="B5" s="63">
        <v>26</v>
      </c>
    </row>
    <row r="6" spans="1:2" ht="15">
      <c r="A6" s="125" t="s">
        <v>934</v>
      </c>
      <c r="B6" s="63">
        <v>22</v>
      </c>
    </row>
    <row r="7" spans="1:2" ht="15">
      <c r="A7" s="125" t="s">
        <v>915</v>
      </c>
      <c r="B7" s="63">
        <v>22</v>
      </c>
    </row>
    <row r="8" spans="1:2" ht="15">
      <c r="A8" s="125" t="s">
        <v>906</v>
      </c>
      <c r="B8" s="63">
        <v>20</v>
      </c>
    </row>
    <row r="9" spans="1:2" ht="15">
      <c r="A9" s="125" t="s">
        <v>912</v>
      </c>
      <c r="B9" s="63">
        <v>20</v>
      </c>
    </row>
    <row r="10" spans="1:2" ht="15">
      <c r="A10" s="125" t="s">
        <v>910</v>
      </c>
      <c r="B10" s="63">
        <v>10</v>
      </c>
    </row>
    <row r="11" spans="1:2" ht="15">
      <c r="A11" s="125" t="s">
        <v>933</v>
      </c>
      <c r="B11" s="63">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393</v>
      </c>
      <c r="B1" s="13" t="s">
        <v>249</v>
      </c>
      <c r="C1" s="13" t="s">
        <v>191</v>
      </c>
      <c r="D1" s="13" t="s">
        <v>304</v>
      </c>
    </row>
    <row r="2" spans="1:4" ht="15">
      <c r="A2" s="63" t="s">
        <v>333</v>
      </c>
      <c r="B2" s="63" t="s">
        <v>394</v>
      </c>
      <c r="C2" s="67" t="s">
        <v>351</v>
      </c>
      <c r="D2" s="100">
        <v>43660.63070601852</v>
      </c>
    </row>
    <row r="3" spans="1:4" ht="15">
      <c r="A3" s="63" t="s">
        <v>333</v>
      </c>
      <c r="B3" s="63" t="s">
        <v>313</v>
      </c>
      <c r="C3" s="67" t="s">
        <v>351</v>
      </c>
      <c r="D3" s="100">
        <v>43660.63070601852</v>
      </c>
    </row>
    <row r="4" spans="1:4" ht="15">
      <c r="A4" s="63" t="s">
        <v>333</v>
      </c>
      <c r="B4" s="63" t="s">
        <v>395</v>
      </c>
      <c r="C4" s="67" t="s">
        <v>351</v>
      </c>
      <c r="D4" s="100">
        <v>43660.63070601852</v>
      </c>
    </row>
    <row r="5" spans="1:4" ht="15">
      <c r="A5" s="63" t="s">
        <v>333</v>
      </c>
      <c r="B5" s="63" t="s">
        <v>396</v>
      </c>
      <c r="C5" s="67" t="s">
        <v>351</v>
      </c>
      <c r="D5" s="100">
        <v>43660.63070601852</v>
      </c>
    </row>
    <row r="6" spans="1:4" ht="15">
      <c r="A6" s="63" t="s">
        <v>333</v>
      </c>
      <c r="B6" s="63" t="s">
        <v>397</v>
      </c>
      <c r="C6" s="67" t="s">
        <v>351</v>
      </c>
      <c r="D6" s="100">
        <v>43660.63070601852</v>
      </c>
    </row>
    <row r="7" spans="1:4" ht="15">
      <c r="A7" s="63" t="s">
        <v>333</v>
      </c>
      <c r="B7" s="63" t="s">
        <v>398</v>
      </c>
      <c r="C7" s="67" t="s">
        <v>351</v>
      </c>
      <c r="D7" s="100">
        <v>43660.63070601852</v>
      </c>
    </row>
    <row r="8" spans="1:4" ht="15">
      <c r="A8" s="63" t="s">
        <v>333</v>
      </c>
      <c r="B8" s="63" t="s">
        <v>338</v>
      </c>
      <c r="C8" s="67" t="s">
        <v>351</v>
      </c>
      <c r="D8" s="100">
        <v>43660.63070601852</v>
      </c>
    </row>
    <row r="9" spans="1:4" ht="15">
      <c r="A9" s="63" t="s">
        <v>333</v>
      </c>
      <c r="B9" s="63" t="s">
        <v>399</v>
      </c>
      <c r="C9" s="67" t="s">
        <v>351</v>
      </c>
      <c r="D9" s="100">
        <v>43660.63070601852</v>
      </c>
    </row>
    <row r="10" spans="1:4" ht="15">
      <c r="A10" s="63" t="s">
        <v>333</v>
      </c>
      <c r="B10" s="63" t="s">
        <v>400</v>
      </c>
      <c r="C10" s="67" t="s">
        <v>351</v>
      </c>
      <c r="D10" s="100">
        <v>43660.63070601852</v>
      </c>
    </row>
    <row r="11" spans="1:4" ht="15">
      <c r="A11" s="63" t="s">
        <v>333</v>
      </c>
      <c r="B11" s="63" t="s">
        <v>359</v>
      </c>
      <c r="C11" s="67" t="s">
        <v>351</v>
      </c>
      <c r="D11" s="100">
        <v>43660.63070601852</v>
      </c>
    </row>
    <row r="12" spans="1:4" ht="15">
      <c r="A12" s="63" t="s">
        <v>333</v>
      </c>
      <c r="B12" s="63" t="s">
        <v>401</v>
      </c>
      <c r="C12" s="67" t="s">
        <v>356</v>
      </c>
      <c r="D12" s="100">
        <v>43656.98128472222</v>
      </c>
    </row>
    <row r="13" spans="1:4" ht="15">
      <c r="A13" s="63" t="s">
        <v>333</v>
      </c>
      <c r="B13" s="63" t="s">
        <v>402</v>
      </c>
      <c r="C13" s="67" t="s">
        <v>356</v>
      </c>
      <c r="D13" s="100">
        <v>43656.98128472222</v>
      </c>
    </row>
    <row r="14" spans="1:4" ht="15">
      <c r="A14" s="63" t="s">
        <v>333</v>
      </c>
      <c r="B14" s="63" t="s">
        <v>368</v>
      </c>
      <c r="C14" s="67" t="s">
        <v>356</v>
      </c>
      <c r="D14" s="100">
        <v>43656.98128472222</v>
      </c>
    </row>
    <row r="15" spans="1:4" ht="15">
      <c r="A15" s="63" t="s">
        <v>333</v>
      </c>
      <c r="B15" s="63">
        <v>60</v>
      </c>
      <c r="C15" s="67" t="s">
        <v>356</v>
      </c>
      <c r="D15" s="100">
        <v>43656.98128472222</v>
      </c>
    </row>
    <row r="16" spans="1:4" ht="15">
      <c r="A16" s="63" t="s">
        <v>333</v>
      </c>
      <c r="B16" s="63" t="s">
        <v>309</v>
      </c>
      <c r="C16" s="67" t="s">
        <v>356</v>
      </c>
      <c r="D16" s="100">
        <v>43656.98128472222</v>
      </c>
    </row>
    <row r="17" spans="1:4" ht="15">
      <c r="A17" s="63" t="s">
        <v>333</v>
      </c>
      <c r="B17" s="63" t="s">
        <v>403</v>
      </c>
      <c r="C17" s="67" t="s">
        <v>356</v>
      </c>
      <c r="D17" s="100">
        <v>43656.98128472222</v>
      </c>
    </row>
    <row r="18" spans="1:4" ht="15">
      <c r="A18" s="63" t="s">
        <v>333</v>
      </c>
      <c r="B18" s="63" t="s">
        <v>404</v>
      </c>
      <c r="C18" s="67" t="s">
        <v>356</v>
      </c>
      <c r="D18" s="100">
        <v>43656.98128472222</v>
      </c>
    </row>
    <row r="19" spans="1:4" ht="15">
      <c r="A19" s="63" t="s">
        <v>333</v>
      </c>
      <c r="B19" s="63" t="s">
        <v>405</v>
      </c>
      <c r="C19" s="67" t="s">
        <v>355</v>
      </c>
      <c r="D19" s="100">
        <v>43657.011030092595</v>
      </c>
    </row>
    <row r="20" spans="1:4" ht="15">
      <c r="A20" s="63" t="s">
        <v>333</v>
      </c>
      <c r="B20" s="63" t="s">
        <v>315</v>
      </c>
      <c r="C20" s="67" t="s">
        <v>355</v>
      </c>
      <c r="D20" s="100">
        <v>43657.011030092595</v>
      </c>
    </row>
    <row r="21" spans="1:4" ht="15">
      <c r="A21" s="63" t="s">
        <v>333</v>
      </c>
      <c r="B21" s="63" t="s">
        <v>308</v>
      </c>
      <c r="C21" s="67" t="s">
        <v>355</v>
      </c>
      <c r="D21" s="100">
        <v>43657.011030092595</v>
      </c>
    </row>
    <row r="22" spans="1:4" ht="15">
      <c r="A22" s="63" t="s">
        <v>333</v>
      </c>
      <c r="B22" s="63" t="s">
        <v>402</v>
      </c>
      <c r="C22" s="67" t="s">
        <v>355</v>
      </c>
      <c r="D22" s="100">
        <v>43657.011030092595</v>
      </c>
    </row>
    <row r="23" spans="1:4" ht="15">
      <c r="A23" s="63" t="s">
        <v>333</v>
      </c>
      <c r="B23" s="63" t="s">
        <v>406</v>
      </c>
      <c r="C23" s="67" t="s">
        <v>355</v>
      </c>
      <c r="D23" s="100">
        <v>43657.011030092595</v>
      </c>
    </row>
    <row r="24" spans="1:4" ht="15">
      <c r="A24" s="63" t="s">
        <v>333</v>
      </c>
      <c r="B24" s="63" t="s">
        <v>306</v>
      </c>
      <c r="C24" s="67" t="s">
        <v>355</v>
      </c>
      <c r="D24" s="100">
        <v>43657.011030092595</v>
      </c>
    </row>
    <row r="25" spans="1:4" ht="15">
      <c r="A25" s="63" t="s">
        <v>333</v>
      </c>
      <c r="B25" s="63" t="s">
        <v>372</v>
      </c>
      <c r="C25" s="67" t="s">
        <v>355</v>
      </c>
      <c r="D25" s="100">
        <v>43657.011030092595</v>
      </c>
    </row>
    <row r="26" spans="1:4" ht="15">
      <c r="A26" s="63" t="s">
        <v>333</v>
      </c>
      <c r="B26" s="63" t="s">
        <v>369</v>
      </c>
      <c r="C26" s="67" t="s">
        <v>355</v>
      </c>
      <c r="D26" s="100">
        <v>43657.011030092595</v>
      </c>
    </row>
    <row r="27" spans="1:4" ht="15">
      <c r="A27" s="63" t="s">
        <v>333</v>
      </c>
      <c r="B27" s="63" t="s">
        <v>316</v>
      </c>
      <c r="C27" s="67" t="s">
        <v>355</v>
      </c>
      <c r="D27" s="100">
        <v>43657.011030092595</v>
      </c>
    </row>
    <row r="28" spans="1:4" ht="15">
      <c r="A28" s="63" t="s">
        <v>333</v>
      </c>
      <c r="B28" s="63" t="s">
        <v>404</v>
      </c>
      <c r="C28" s="67" t="s">
        <v>355</v>
      </c>
      <c r="D28" s="100">
        <v>43657.011030092595</v>
      </c>
    </row>
    <row r="29" spans="1:4" ht="15">
      <c r="A29" s="63" t="s">
        <v>333</v>
      </c>
      <c r="B29" s="63" t="s">
        <v>399</v>
      </c>
      <c r="C29" s="67" t="s">
        <v>355</v>
      </c>
      <c r="D29" s="100">
        <v>43657.011030092595</v>
      </c>
    </row>
    <row r="30" spans="1:4" ht="15">
      <c r="A30" s="63" t="s">
        <v>333</v>
      </c>
      <c r="B30" s="63" t="s">
        <v>407</v>
      </c>
      <c r="C30" s="67" t="s">
        <v>350</v>
      </c>
      <c r="D30" s="100">
        <v>43657.00068287037</v>
      </c>
    </row>
    <row r="31" spans="1:4" ht="15">
      <c r="A31" s="63" t="s">
        <v>333</v>
      </c>
      <c r="B31" s="63" t="s">
        <v>360</v>
      </c>
      <c r="C31" s="67" t="s">
        <v>350</v>
      </c>
      <c r="D31" s="100">
        <v>43657.00068287037</v>
      </c>
    </row>
    <row r="32" spans="1:4" ht="15">
      <c r="A32" s="63" t="s">
        <v>333</v>
      </c>
      <c r="B32" s="63" t="s">
        <v>306</v>
      </c>
      <c r="C32" s="67" t="s">
        <v>350</v>
      </c>
      <c r="D32" s="100">
        <v>43657.00068287037</v>
      </c>
    </row>
    <row r="33" spans="1:4" ht="15">
      <c r="A33" s="63" t="s">
        <v>333</v>
      </c>
      <c r="B33" s="63" t="s">
        <v>408</v>
      </c>
      <c r="C33" s="67" t="s">
        <v>350</v>
      </c>
      <c r="D33" s="100">
        <v>43657.00068287037</v>
      </c>
    </row>
    <row r="34" spans="1:4" ht="15">
      <c r="A34" s="63" t="s">
        <v>333</v>
      </c>
      <c r="B34" s="63" t="s">
        <v>337</v>
      </c>
      <c r="C34" s="67" t="s">
        <v>350</v>
      </c>
      <c r="D34" s="100">
        <v>43657.00068287037</v>
      </c>
    </row>
    <row r="35" spans="1:4" ht="15">
      <c r="A35" s="63" t="s">
        <v>333</v>
      </c>
      <c r="B35" s="63" t="s">
        <v>404</v>
      </c>
      <c r="C35" s="67" t="s">
        <v>350</v>
      </c>
      <c r="D35" s="100">
        <v>43657.00068287037</v>
      </c>
    </row>
    <row r="36" spans="1:4" ht="15">
      <c r="A36" s="63" t="s">
        <v>333</v>
      </c>
      <c r="B36" s="63" t="s">
        <v>399</v>
      </c>
      <c r="C36" s="67" t="s">
        <v>350</v>
      </c>
      <c r="D36" s="100">
        <v>43657.00068287037</v>
      </c>
    </row>
    <row r="37" spans="1:4" ht="15">
      <c r="A37" s="63" t="s">
        <v>333</v>
      </c>
      <c r="B37" s="63" t="s">
        <v>409</v>
      </c>
      <c r="C37" s="67" t="s">
        <v>354</v>
      </c>
      <c r="D37" s="100">
        <v>43656.995034722226</v>
      </c>
    </row>
    <row r="38" spans="1:4" ht="15">
      <c r="A38" s="63" t="s">
        <v>333</v>
      </c>
      <c r="B38" s="63" t="s">
        <v>410</v>
      </c>
      <c r="C38" s="67" t="s">
        <v>354</v>
      </c>
      <c r="D38" s="100">
        <v>43656.995034722226</v>
      </c>
    </row>
    <row r="39" spans="1:4" ht="15">
      <c r="A39" s="63" t="s">
        <v>333</v>
      </c>
      <c r="B39" s="63" t="s">
        <v>359</v>
      </c>
      <c r="C39" s="67" t="s">
        <v>354</v>
      </c>
      <c r="D39" s="100">
        <v>43656.995034722226</v>
      </c>
    </row>
    <row r="40" spans="1:4" ht="15">
      <c r="A40" s="63" t="s">
        <v>333</v>
      </c>
      <c r="B40" s="63" t="s">
        <v>361</v>
      </c>
      <c r="C40" s="67" t="s">
        <v>354</v>
      </c>
      <c r="D40" s="100">
        <v>43656.995034722226</v>
      </c>
    </row>
    <row r="41" spans="1:4" ht="15">
      <c r="A41" s="63" t="s">
        <v>333</v>
      </c>
      <c r="B41" s="63" t="s">
        <v>411</v>
      </c>
      <c r="C41" s="67" t="s">
        <v>354</v>
      </c>
      <c r="D41" s="100">
        <v>43656.995034722226</v>
      </c>
    </row>
    <row r="42" spans="1:4" ht="15">
      <c r="A42" s="63" t="s">
        <v>333</v>
      </c>
      <c r="B42" s="63" t="s">
        <v>404</v>
      </c>
      <c r="C42" s="67" t="s">
        <v>354</v>
      </c>
      <c r="D42" s="100">
        <v>43656.995034722226</v>
      </c>
    </row>
    <row r="43" spans="1:4" ht="15">
      <c r="A43" s="63" t="s">
        <v>333</v>
      </c>
      <c r="B43" s="63" t="s">
        <v>399</v>
      </c>
      <c r="C43" s="67" t="s">
        <v>354</v>
      </c>
      <c r="D43" s="100">
        <v>43656.995034722226</v>
      </c>
    </row>
    <row r="44" spans="1:4" ht="15">
      <c r="A44" s="63" t="s">
        <v>333</v>
      </c>
      <c r="B44" s="63" t="s">
        <v>412</v>
      </c>
      <c r="C44" s="67" t="s">
        <v>353</v>
      </c>
      <c r="D44" s="100">
        <v>43656.98375</v>
      </c>
    </row>
    <row r="45" spans="1:4" ht="15">
      <c r="A45" s="63" t="s">
        <v>333</v>
      </c>
      <c r="B45" s="63" t="s">
        <v>406</v>
      </c>
      <c r="C45" s="67" t="s">
        <v>353</v>
      </c>
      <c r="D45" s="100">
        <v>43656.98375</v>
      </c>
    </row>
    <row r="46" spans="1:4" ht="15">
      <c r="A46" s="63" t="s">
        <v>333</v>
      </c>
      <c r="B46" s="63" t="s">
        <v>413</v>
      </c>
      <c r="C46" s="67" t="s">
        <v>353</v>
      </c>
      <c r="D46" s="100">
        <v>43656.98375</v>
      </c>
    </row>
    <row r="47" spans="1:4" ht="15">
      <c r="A47" s="63" t="s">
        <v>333</v>
      </c>
      <c r="B47" s="63" t="s">
        <v>368</v>
      </c>
      <c r="C47" s="67" t="s">
        <v>353</v>
      </c>
      <c r="D47" s="100">
        <v>43656.98375</v>
      </c>
    </row>
    <row r="48" spans="1:4" ht="15">
      <c r="A48" s="63" t="s">
        <v>333</v>
      </c>
      <c r="B48" s="63" t="s">
        <v>404</v>
      </c>
      <c r="C48" s="67" t="s">
        <v>353</v>
      </c>
      <c r="D48" s="100">
        <v>43656.98375</v>
      </c>
    </row>
    <row r="49" spans="1:4" ht="15">
      <c r="A49" s="63" t="s">
        <v>333</v>
      </c>
      <c r="B49" s="63" t="s">
        <v>399</v>
      </c>
      <c r="C49" s="67" t="s">
        <v>353</v>
      </c>
      <c r="D49" s="100">
        <v>43656.98375</v>
      </c>
    </row>
    <row r="50" spans="1:4" ht="15">
      <c r="A50" s="63" t="s">
        <v>333</v>
      </c>
      <c r="B50" s="63" t="s">
        <v>404</v>
      </c>
      <c r="C50" s="67" t="s">
        <v>352</v>
      </c>
      <c r="D50" s="100">
        <v>43656.97730324074</v>
      </c>
    </row>
    <row r="51" spans="1:4" ht="15">
      <c r="A51" s="63" t="s">
        <v>333</v>
      </c>
      <c r="B51" s="63" t="s">
        <v>402</v>
      </c>
      <c r="C51" s="67" t="s">
        <v>352</v>
      </c>
      <c r="D51" s="100">
        <v>43656.97730324074</v>
      </c>
    </row>
    <row r="52" spans="1:4" ht="15">
      <c r="A52" s="63" t="s">
        <v>333</v>
      </c>
      <c r="B52" s="63" t="s">
        <v>406</v>
      </c>
      <c r="C52" s="67" t="s">
        <v>352</v>
      </c>
      <c r="D52" s="100">
        <v>43656.97730324074</v>
      </c>
    </row>
    <row r="53" spans="1:4" ht="15">
      <c r="A53" s="63" t="s">
        <v>333</v>
      </c>
      <c r="B53" s="63" t="s">
        <v>306</v>
      </c>
      <c r="C53" s="67" t="s">
        <v>352</v>
      </c>
      <c r="D53" s="100">
        <v>43656.97730324074</v>
      </c>
    </row>
    <row r="54" spans="1:4" ht="15">
      <c r="A54" s="63" t="s">
        <v>333</v>
      </c>
      <c r="B54" s="63" t="s">
        <v>399</v>
      </c>
      <c r="C54" s="67" t="s">
        <v>352</v>
      </c>
      <c r="D54" s="100">
        <v>43656.97730324074</v>
      </c>
    </row>
    <row r="55" spans="1:4" ht="15">
      <c r="A55" s="63" t="s">
        <v>330</v>
      </c>
      <c r="B55" s="63" t="s">
        <v>399</v>
      </c>
      <c r="C55" s="67" t="s">
        <v>343</v>
      </c>
      <c r="D55" s="100">
        <v>43654.69541666667</v>
      </c>
    </row>
    <row r="56" spans="1:4" ht="15">
      <c r="A56" s="63" t="s">
        <v>330</v>
      </c>
      <c r="B56" s="63" t="s">
        <v>414</v>
      </c>
      <c r="C56" s="67" t="s">
        <v>343</v>
      </c>
      <c r="D56" s="100">
        <v>43654.69541666667</v>
      </c>
    </row>
    <row r="57" spans="1:4" ht="15">
      <c r="A57" s="63" t="s">
        <v>330</v>
      </c>
      <c r="B57" s="63" t="s">
        <v>415</v>
      </c>
      <c r="C57" s="67" t="s">
        <v>343</v>
      </c>
      <c r="D57" s="100">
        <v>43654.69541666667</v>
      </c>
    </row>
    <row r="58" spans="1:4" ht="15">
      <c r="A58" s="63" t="s">
        <v>330</v>
      </c>
      <c r="B58" s="63" t="s">
        <v>416</v>
      </c>
      <c r="C58" s="67" t="s">
        <v>343</v>
      </c>
      <c r="D58" s="100">
        <v>43654.69541666667</v>
      </c>
    </row>
    <row r="59" spans="1:4" ht="15">
      <c r="A59" s="63" t="s">
        <v>330</v>
      </c>
      <c r="B59" s="63" t="s">
        <v>336</v>
      </c>
      <c r="C59" s="67" t="s">
        <v>343</v>
      </c>
      <c r="D59" s="100">
        <v>43654.69541666667</v>
      </c>
    </row>
    <row r="60" spans="1:4" ht="15">
      <c r="A60" s="63" t="s">
        <v>330</v>
      </c>
      <c r="B60" s="63" t="s">
        <v>417</v>
      </c>
      <c r="C60" s="67" t="s">
        <v>343</v>
      </c>
      <c r="D60" s="100">
        <v>43654.69541666667</v>
      </c>
    </row>
    <row r="61" spans="1:4" ht="15">
      <c r="A61" s="63" t="s">
        <v>330</v>
      </c>
      <c r="B61" s="63" t="s">
        <v>418</v>
      </c>
      <c r="C61" s="67" t="s">
        <v>343</v>
      </c>
      <c r="D61" s="100">
        <v>43654.69541666667</v>
      </c>
    </row>
    <row r="62" spans="1:4" ht="15">
      <c r="A62" s="63" t="s">
        <v>330</v>
      </c>
      <c r="B62" s="63" t="s">
        <v>419</v>
      </c>
      <c r="C62" s="67" t="s">
        <v>343</v>
      </c>
      <c r="D62" s="100">
        <v>43654.69541666667</v>
      </c>
    </row>
    <row r="63" spans="1:4" ht="15">
      <c r="A63" s="63" t="s">
        <v>330</v>
      </c>
      <c r="B63" s="63" t="s">
        <v>420</v>
      </c>
      <c r="C63" s="67" t="s">
        <v>343</v>
      </c>
      <c r="D63" s="100">
        <v>43654.69541666667</v>
      </c>
    </row>
    <row r="64" spans="1:4" ht="15">
      <c r="A64" s="63" t="s">
        <v>330</v>
      </c>
      <c r="B64" s="63" t="s">
        <v>421</v>
      </c>
      <c r="C64" s="67" t="s">
        <v>343</v>
      </c>
      <c r="D64" s="100">
        <v>43654.69541666667</v>
      </c>
    </row>
    <row r="65" spans="1:4" ht="15">
      <c r="A65" s="63" t="s">
        <v>330</v>
      </c>
      <c r="B65" s="63" t="s">
        <v>422</v>
      </c>
      <c r="C65" s="67" t="s">
        <v>343</v>
      </c>
      <c r="D65" s="100">
        <v>43654.69541666667</v>
      </c>
    </row>
    <row r="66" spans="1:4" ht="15">
      <c r="A66" s="63" t="s">
        <v>330</v>
      </c>
      <c r="B66" s="63" t="s">
        <v>423</v>
      </c>
      <c r="C66" s="67" t="s">
        <v>343</v>
      </c>
      <c r="D66" s="100">
        <v>43654.69541666667</v>
      </c>
    </row>
    <row r="67" spans="1:4" ht="15">
      <c r="A67" s="63" t="s">
        <v>330</v>
      </c>
      <c r="B67" s="63" t="s">
        <v>379</v>
      </c>
      <c r="C67" s="67" t="s">
        <v>343</v>
      </c>
      <c r="D67" s="100">
        <v>43654.69541666667</v>
      </c>
    </row>
    <row r="68" spans="1:4" ht="15">
      <c r="A68" s="63" t="s">
        <v>330</v>
      </c>
      <c r="B68" s="63" t="s">
        <v>380</v>
      </c>
      <c r="C68" s="67" t="s">
        <v>343</v>
      </c>
      <c r="D68" s="100">
        <v>43654.69541666667</v>
      </c>
    </row>
    <row r="69" spans="1:4" ht="15">
      <c r="A69" s="63" t="s">
        <v>330</v>
      </c>
      <c r="B69" s="63" t="s">
        <v>424</v>
      </c>
      <c r="C69" s="67" t="s">
        <v>343</v>
      </c>
      <c r="D69" s="100">
        <v>43654.69541666667</v>
      </c>
    </row>
    <row r="70" spans="1:4" ht="15">
      <c r="A70" s="63" t="s">
        <v>330</v>
      </c>
      <c r="B70" s="63" t="s">
        <v>425</v>
      </c>
      <c r="C70" s="67" t="s">
        <v>343</v>
      </c>
      <c r="D70" s="100">
        <v>43654.69541666667</v>
      </c>
    </row>
    <row r="71" spans="1:4" ht="15">
      <c r="A71" s="63" t="s">
        <v>330</v>
      </c>
      <c r="B71" s="63" t="s">
        <v>318</v>
      </c>
      <c r="C71" s="67" t="s">
        <v>343</v>
      </c>
      <c r="D71" s="100">
        <v>43654.69541666667</v>
      </c>
    </row>
    <row r="72" spans="1:4" ht="15">
      <c r="A72" s="63" t="s">
        <v>330</v>
      </c>
      <c r="B72" s="63" t="s">
        <v>381</v>
      </c>
      <c r="C72" s="67" t="s">
        <v>343</v>
      </c>
      <c r="D72" s="100">
        <v>43654.69541666667</v>
      </c>
    </row>
    <row r="73" spans="1:4" ht="15">
      <c r="A73" s="63" t="s">
        <v>330</v>
      </c>
      <c r="B73" s="63" t="s">
        <v>426</v>
      </c>
      <c r="C73" s="67" t="s">
        <v>343</v>
      </c>
      <c r="D73" s="100">
        <v>43654.69541666667</v>
      </c>
    </row>
    <row r="74" spans="1:4" ht="15">
      <c r="A74" s="63" t="s">
        <v>330</v>
      </c>
      <c r="B74" s="63" t="s">
        <v>427</v>
      </c>
      <c r="C74" s="67" t="s">
        <v>343</v>
      </c>
      <c r="D74" s="100">
        <v>43654.69541666667</v>
      </c>
    </row>
    <row r="75" spans="1:4" ht="15">
      <c r="A75" s="63" t="s">
        <v>330</v>
      </c>
      <c r="B75" s="63" t="s">
        <v>428</v>
      </c>
      <c r="C75" s="67" t="s">
        <v>343</v>
      </c>
      <c r="D75" s="100">
        <v>43654.69541666667</v>
      </c>
    </row>
    <row r="76" spans="1:4" ht="15">
      <c r="A76" s="63" t="s">
        <v>330</v>
      </c>
      <c r="B76" s="63" t="s">
        <v>429</v>
      </c>
      <c r="C76" s="67" t="s">
        <v>343</v>
      </c>
      <c r="D76" s="100">
        <v>43654.69541666667</v>
      </c>
    </row>
    <row r="77" spans="1:4" ht="15">
      <c r="A77" s="63" t="s">
        <v>330</v>
      </c>
      <c r="B77" s="63" t="s">
        <v>382</v>
      </c>
      <c r="C77" s="67" t="s">
        <v>343</v>
      </c>
      <c r="D77" s="100">
        <v>43654.69541666667</v>
      </c>
    </row>
    <row r="78" spans="1:4" ht="15">
      <c r="A78" s="63" t="s">
        <v>330</v>
      </c>
      <c r="B78" s="63" t="s">
        <v>430</v>
      </c>
      <c r="C78" s="67" t="s">
        <v>343</v>
      </c>
      <c r="D78" s="100">
        <v>43654.69541666667</v>
      </c>
    </row>
    <row r="79" spans="1:4" ht="15">
      <c r="A79" s="63" t="s">
        <v>330</v>
      </c>
      <c r="B79" s="63" t="s">
        <v>431</v>
      </c>
      <c r="C79" s="67" t="s">
        <v>343</v>
      </c>
      <c r="D79" s="100">
        <v>43654.69541666667</v>
      </c>
    </row>
    <row r="80" spans="1:4" ht="15">
      <c r="A80" s="63" t="s">
        <v>330</v>
      </c>
      <c r="B80" s="63" t="s">
        <v>404</v>
      </c>
      <c r="C80" s="67" t="s">
        <v>343</v>
      </c>
      <c r="D80" s="100">
        <v>43654.69541666667</v>
      </c>
    </row>
    <row r="81" spans="1:4" ht="15">
      <c r="A81" s="63" t="s">
        <v>330</v>
      </c>
      <c r="B81" s="63" t="s">
        <v>396</v>
      </c>
      <c r="C81" s="67" t="s">
        <v>343</v>
      </c>
      <c r="D81" s="100">
        <v>43654.69541666667</v>
      </c>
    </row>
    <row r="82" spans="1:4" ht="15">
      <c r="A82" s="63" t="s">
        <v>330</v>
      </c>
      <c r="B82" s="63" t="s">
        <v>383</v>
      </c>
      <c r="C82" s="67" t="s">
        <v>343</v>
      </c>
      <c r="D82" s="100">
        <v>43654.69541666667</v>
      </c>
    </row>
    <row r="83" spans="1:4" ht="15">
      <c r="A83" s="63" t="s">
        <v>330</v>
      </c>
      <c r="B83" s="63" t="s">
        <v>384</v>
      </c>
      <c r="C83" s="67" t="s">
        <v>343</v>
      </c>
      <c r="D83" s="100">
        <v>43654.69541666667</v>
      </c>
    </row>
    <row r="84" spans="1:4" ht="15">
      <c r="A84" s="63" t="s">
        <v>330</v>
      </c>
      <c r="B84" s="63" t="s">
        <v>432</v>
      </c>
      <c r="C84" s="67" t="s">
        <v>343</v>
      </c>
      <c r="D84" s="100">
        <v>43654.69541666667</v>
      </c>
    </row>
    <row r="85" spans="1:4" ht="15">
      <c r="A85" s="63" t="s">
        <v>330</v>
      </c>
      <c r="B85" s="63" t="s">
        <v>322</v>
      </c>
      <c r="C85" s="67" t="s">
        <v>343</v>
      </c>
      <c r="D85" s="100">
        <v>43654.69541666667</v>
      </c>
    </row>
    <row r="86" spans="1:4" ht="15">
      <c r="A86" s="63" t="s">
        <v>330</v>
      </c>
      <c r="B86" s="63" t="s">
        <v>433</v>
      </c>
      <c r="C86" s="67" t="s">
        <v>343</v>
      </c>
      <c r="D86" s="100">
        <v>43654.69541666667</v>
      </c>
    </row>
    <row r="87" spans="1:4" ht="15">
      <c r="A87" s="63" t="s">
        <v>330</v>
      </c>
      <c r="B87" s="63" t="s">
        <v>314</v>
      </c>
      <c r="C87" s="67" t="s">
        <v>343</v>
      </c>
      <c r="D87" s="100">
        <v>43654.69541666667</v>
      </c>
    </row>
    <row r="88" spans="1:4" ht="15">
      <c r="A88" s="63" t="s">
        <v>330</v>
      </c>
      <c r="B88" s="63" t="s">
        <v>385</v>
      </c>
      <c r="C88" s="67" t="s">
        <v>343</v>
      </c>
      <c r="D88" s="100">
        <v>43654.69541666667</v>
      </c>
    </row>
    <row r="89" spans="1:4" ht="15">
      <c r="A89" s="63" t="s">
        <v>330</v>
      </c>
      <c r="B89" s="63" t="s">
        <v>398</v>
      </c>
      <c r="C89" s="67" t="s">
        <v>343</v>
      </c>
      <c r="D89" s="100">
        <v>43654.69541666667</v>
      </c>
    </row>
    <row r="90" spans="1:4" ht="15">
      <c r="A90" s="63" t="s">
        <v>330</v>
      </c>
      <c r="B90" s="63" t="s">
        <v>366</v>
      </c>
      <c r="C90" s="67" t="s">
        <v>343</v>
      </c>
      <c r="D90" s="100">
        <v>43654.69541666667</v>
      </c>
    </row>
    <row r="91" spans="1:4" ht="15">
      <c r="A91" s="63" t="s">
        <v>330</v>
      </c>
      <c r="B91" s="63" t="s">
        <v>367</v>
      </c>
      <c r="C91" s="67" t="s">
        <v>343</v>
      </c>
      <c r="D91" s="100">
        <v>43654.69541666667</v>
      </c>
    </row>
    <row r="92" spans="1:4" ht="15">
      <c r="A92" s="63" t="s">
        <v>330</v>
      </c>
      <c r="B92" s="63" t="s">
        <v>386</v>
      </c>
      <c r="C92" s="67" t="s">
        <v>343</v>
      </c>
      <c r="D92" s="100">
        <v>43654.69541666667</v>
      </c>
    </row>
    <row r="93" spans="1:4" ht="15">
      <c r="A93" s="63" t="s">
        <v>330</v>
      </c>
      <c r="B93" s="63" t="s">
        <v>434</v>
      </c>
      <c r="C93" s="67" t="s">
        <v>343</v>
      </c>
      <c r="D93" s="100">
        <v>43654.69541666667</v>
      </c>
    </row>
    <row r="94" spans="1:4" ht="15">
      <c r="A94" s="63" t="s">
        <v>330</v>
      </c>
      <c r="B94" s="63" t="s">
        <v>399</v>
      </c>
      <c r="C94" s="67" t="s">
        <v>342</v>
      </c>
      <c r="D94" s="100">
        <v>43654.694375</v>
      </c>
    </row>
    <row r="95" spans="1:4" ht="15">
      <c r="A95" s="63" t="s">
        <v>330</v>
      </c>
      <c r="B95" s="63" t="s">
        <v>414</v>
      </c>
      <c r="C95" s="67" t="s">
        <v>342</v>
      </c>
      <c r="D95" s="100">
        <v>43654.694375</v>
      </c>
    </row>
    <row r="96" spans="1:4" ht="15">
      <c r="A96" s="63" t="s">
        <v>330</v>
      </c>
      <c r="B96" s="63" t="s">
        <v>415</v>
      </c>
      <c r="C96" s="67" t="s">
        <v>342</v>
      </c>
      <c r="D96" s="100">
        <v>43654.694375</v>
      </c>
    </row>
    <row r="97" spans="1:4" ht="15">
      <c r="A97" s="63" t="s">
        <v>330</v>
      </c>
      <c r="B97" s="63" t="s">
        <v>416</v>
      </c>
      <c r="C97" s="67" t="s">
        <v>342</v>
      </c>
      <c r="D97" s="100">
        <v>43654.694375</v>
      </c>
    </row>
    <row r="98" spans="1:4" ht="15">
      <c r="A98" s="63" t="s">
        <v>330</v>
      </c>
      <c r="B98" s="63" t="s">
        <v>336</v>
      </c>
      <c r="C98" s="67" t="s">
        <v>342</v>
      </c>
      <c r="D98" s="100">
        <v>43654.694375</v>
      </c>
    </row>
    <row r="99" spans="1:4" ht="15">
      <c r="A99" s="63" t="s">
        <v>330</v>
      </c>
      <c r="B99" s="63" t="s">
        <v>417</v>
      </c>
      <c r="C99" s="67" t="s">
        <v>342</v>
      </c>
      <c r="D99" s="100">
        <v>43654.694375</v>
      </c>
    </row>
    <row r="100" spans="1:4" ht="15">
      <c r="A100" s="63" t="s">
        <v>330</v>
      </c>
      <c r="B100" s="63" t="s">
        <v>418</v>
      </c>
      <c r="C100" s="67" t="s">
        <v>342</v>
      </c>
      <c r="D100" s="100">
        <v>43654.694375</v>
      </c>
    </row>
    <row r="101" spans="1:4" ht="15">
      <c r="A101" s="63" t="s">
        <v>330</v>
      </c>
      <c r="B101" s="63" t="s">
        <v>419</v>
      </c>
      <c r="C101" s="67" t="s">
        <v>342</v>
      </c>
      <c r="D101" s="100">
        <v>43654.694375</v>
      </c>
    </row>
    <row r="102" spans="1:4" ht="15">
      <c r="A102" s="63" t="s">
        <v>330</v>
      </c>
      <c r="B102" s="63" t="s">
        <v>420</v>
      </c>
      <c r="C102" s="67" t="s">
        <v>342</v>
      </c>
      <c r="D102" s="100">
        <v>43654.694375</v>
      </c>
    </row>
    <row r="103" spans="1:4" ht="15">
      <c r="A103" s="63" t="s">
        <v>330</v>
      </c>
      <c r="B103" s="63" t="s">
        <v>435</v>
      </c>
      <c r="C103" s="67" t="s">
        <v>342</v>
      </c>
      <c r="D103" s="100">
        <v>43654.694375</v>
      </c>
    </row>
    <row r="104" spans="1:4" ht="15">
      <c r="A104" s="63" t="s">
        <v>330</v>
      </c>
      <c r="B104" s="63" t="s">
        <v>422</v>
      </c>
      <c r="C104" s="67" t="s">
        <v>342</v>
      </c>
      <c r="D104" s="100">
        <v>43654.694375</v>
      </c>
    </row>
    <row r="105" spans="1:4" ht="15">
      <c r="A105" s="63" t="s">
        <v>330</v>
      </c>
      <c r="B105" s="63" t="s">
        <v>423</v>
      </c>
      <c r="C105" s="67" t="s">
        <v>342</v>
      </c>
      <c r="D105" s="100">
        <v>43654.694375</v>
      </c>
    </row>
    <row r="106" spans="1:4" ht="15">
      <c r="A106" s="63" t="s">
        <v>330</v>
      </c>
      <c r="B106" s="63" t="s">
        <v>379</v>
      </c>
      <c r="C106" s="67" t="s">
        <v>342</v>
      </c>
      <c r="D106" s="100">
        <v>43654.694375</v>
      </c>
    </row>
    <row r="107" spans="1:4" ht="15">
      <c r="A107" s="63" t="s">
        <v>330</v>
      </c>
      <c r="B107" s="63" t="s">
        <v>380</v>
      </c>
      <c r="C107" s="67" t="s">
        <v>342</v>
      </c>
      <c r="D107" s="100">
        <v>43654.694375</v>
      </c>
    </row>
    <row r="108" spans="1:4" ht="15">
      <c r="A108" s="63" t="s">
        <v>330</v>
      </c>
      <c r="B108" s="63" t="s">
        <v>424</v>
      </c>
      <c r="C108" s="67" t="s">
        <v>342</v>
      </c>
      <c r="D108" s="100">
        <v>43654.694375</v>
      </c>
    </row>
    <row r="109" spans="1:4" ht="15">
      <c r="A109" s="63" t="s">
        <v>330</v>
      </c>
      <c r="B109" s="63" t="s">
        <v>425</v>
      </c>
      <c r="C109" s="67" t="s">
        <v>342</v>
      </c>
      <c r="D109" s="100">
        <v>43654.694375</v>
      </c>
    </row>
    <row r="110" spans="1:4" ht="15">
      <c r="A110" s="63" t="s">
        <v>330</v>
      </c>
      <c r="B110" s="63" t="s">
        <v>318</v>
      </c>
      <c r="C110" s="67" t="s">
        <v>342</v>
      </c>
      <c r="D110" s="100">
        <v>43654.694375</v>
      </c>
    </row>
    <row r="111" spans="1:4" ht="15">
      <c r="A111" s="63" t="s">
        <v>330</v>
      </c>
      <c r="B111" s="63" t="s">
        <v>381</v>
      </c>
      <c r="C111" s="67" t="s">
        <v>342</v>
      </c>
      <c r="D111" s="100">
        <v>43654.694375</v>
      </c>
    </row>
    <row r="112" spans="1:4" ht="15">
      <c r="A112" s="63" t="s">
        <v>330</v>
      </c>
      <c r="B112" s="63" t="s">
        <v>426</v>
      </c>
      <c r="C112" s="67" t="s">
        <v>342</v>
      </c>
      <c r="D112" s="100">
        <v>43654.694375</v>
      </c>
    </row>
    <row r="113" spans="1:4" ht="15">
      <c r="A113" s="63" t="s">
        <v>330</v>
      </c>
      <c r="B113" s="63" t="s">
        <v>427</v>
      </c>
      <c r="C113" s="67" t="s">
        <v>342</v>
      </c>
      <c r="D113" s="100">
        <v>43654.694375</v>
      </c>
    </row>
    <row r="114" spans="1:4" ht="15">
      <c r="A114" s="63" t="s">
        <v>330</v>
      </c>
      <c r="B114" s="63" t="s">
        <v>428</v>
      </c>
      <c r="C114" s="67" t="s">
        <v>342</v>
      </c>
      <c r="D114" s="100">
        <v>43654.694375</v>
      </c>
    </row>
    <row r="115" spans="1:4" ht="15">
      <c r="A115" s="63" t="s">
        <v>330</v>
      </c>
      <c r="B115" s="63" t="s">
        <v>429</v>
      </c>
      <c r="C115" s="67" t="s">
        <v>342</v>
      </c>
      <c r="D115" s="100">
        <v>43654.694375</v>
      </c>
    </row>
    <row r="116" spans="1:4" ht="15">
      <c r="A116" s="63" t="s">
        <v>330</v>
      </c>
      <c r="B116" s="63" t="s">
        <v>382</v>
      </c>
      <c r="C116" s="67" t="s">
        <v>342</v>
      </c>
      <c r="D116" s="100">
        <v>43654.694375</v>
      </c>
    </row>
    <row r="117" spans="1:4" ht="15">
      <c r="A117" s="63" t="s">
        <v>330</v>
      </c>
      <c r="B117" s="63" t="s">
        <v>430</v>
      </c>
      <c r="C117" s="67" t="s">
        <v>342</v>
      </c>
      <c r="D117" s="100">
        <v>43654.694375</v>
      </c>
    </row>
    <row r="118" spans="1:4" ht="15">
      <c r="A118" s="63" t="s">
        <v>330</v>
      </c>
      <c r="B118" s="63" t="s">
        <v>431</v>
      </c>
      <c r="C118" s="67" t="s">
        <v>342</v>
      </c>
      <c r="D118" s="100">
        <v>43654.694375</v>
      </c>
    </row>
    <row r="119" spans="1:4" ht="15">
      <c r="A119" s="63" t="s">
        <v>330</v>
      </c>
      <c r="B119" s="63" t="s">
        <v>404</v>
      </c>
      <c r="C119" s="67" t="s">
        <v>342</v>
      </c>
      <c r="D119" s="100">
        <v>43654.694375</v>
      </c>
    </row>
    <row r="120" spans="1:4" ht="15">
      <c r="A120" s="63" t="s">
        <v>330</v>
      </c>
      <c r="B120" s="63" t="s">
        <v>396</v>
      </c>
      <c r="C120" s="67" t="s">
        <v>342</v>
      </c>
      <c r="D120" s="100">
        <v>43654.694375</v>
      </c>
    </row>
    <row r="121" spans="1:4" ht="15">
      <c r="A121" s="63" t="s">
        <v>330</v>
      </c>
      <c r="B121" s="63" t="s">
        <v>383</v>
      </c>
      <c r="C121" s="67" t="s">
        <v>342</v>
      </c>
      <c r="D121" s="100">
        <v>43654.694375</v>
      </c>
    </row>
    <row r="122" spans="1:4" ht="15">
      <c r="A122" s="63" t="s">
        <v>330</v>
      </c>
      <c r="B122" s="63" t="s">
        <v>384</v>
      </c>
      <c r="C122" s="67" t="s">
        <v>342</v>
      </c>
      <c r="D122" s="100">
        <v>43654.694375</v>
      </c>
    </row>
    <row r="123" spans="1:4" ht="15">
      <c r="A123" s="63" t="s">
        <v>330</v>
      </c>
      <c r="B123" s="63" t="s">
        <v>432</v>
      </c>
      <c r="C123" s="67" t="s">
        <v>342</v>
      </c>
      <c r="D123" s="100">
        <v>43654.694375</v>
      </c>
    </row>
    <row r="124" spans="1:4" ht="15">
      <c r="A124" s="63" t="s">
        <v>330</v>
      </c>
      <c r="B124" s="63" t="s">
        <v>322</v>
      </c>
      <c r="C124" s="67" t="s">
        <v>342</v>
      </c>
      <c r="D124" s="100">
        <v>43654.694375</v>
      </c>
    </row>
    <row r="125" spans="1:4" ht="15">
      <c r="A125" s="63" t="s">
        <v>330</v>
      </c>
      <c r="B125" s="63" t="s">
        <v>433</v>
      </c>
      <c r="C125" s="67" t="s">
        <v>342</v>
      </c>
      <c r="D125" s="100">
        <v>43654.694375</v>
      </c>
    </row>
    <row r="126" spans="1:4" ht="15">
      <c r="A126" s="63" t="s">
        <v>330</v>
      </c>
      <c r="B126" s="63" t="s">
        <v>314</v>
      </c>
      <c r="C126" s="67" t="s">
        <v>342</v>
      </c>
      <c r="D126" s="100">
        <v>43654.694375</v>
      </c>
    </row>
    <row r="127" spans="1:4" ht="15">
      <c r="A127" s="63" t="s">
        <v>330</v>
      </c>
      <c r="B127" s="63" t="s">
        <v>385</v>
      </c>
      <c r="C127" s="67" t="s">
        <v>342</v>
      </c>
      <c r="D127" s="100">
        <v>43654.694375</v>
      </c>
    </row>
    <row r="128" spans="1:4" ht="15">
      <c r="A128" s="63" t="s">
        <v>330</v>
      </c>
      <c r="B128" s="63" t="s">
        <v>398</v>
      </c>
      <c r="C128" s="67" t="s">
        <v>342</v>
      </c>
      <c r="D128" s="100">
        <v>43654.694375</v>
      </c>
    </row>
    <row r="129" spans="1:4" ht="15">
      <c r="A129" s="63" t="s">
        <v>330</v>
      </c>
      <c r="B129" s="63" t="s">
        <v>366</v>
      </c>
      <c r="C129" s="67" t="s">
        <v>342</v>
      </c>
      <c r="D129" s="100">
        <v>43654.694375</v>
      </c>
    </row>
    <row r="130" spans="1:4" ht="15">
      <c r="A130" s="63" t="s">
        <v>330</v>
      </c>
      <c r="B130" s="63" t="s">
        <v>367</v>
      </c>
      <c r="C130" s="67" t="s">
        <v>342</v>
      </c>
      <c r="D130" s="100">
        <v>43654.694375</v>
      </c>
    </row>
    <row r="131" spans="1:4" ht="15">
      <c r="A131" s="63" t="s">
        <v>330</v>
      </c>
      <c r="B131" s="63" t="s">
        <v>386</v>
      </c>
      <c r="C131" s="67" t="s">
        <v>342</v>
      </c>
      <c r="D131" s="100">
        <v>43654.694375</v>
      </c>
    </row>
    <row r="132" spans="1:4" ht="15">
      <c r="A132" s="63" t="s">
        <v>330</v>
      </c>
      <c r="B132" s="63" t="s">
        <v>434</v>
      </c>
      <c r="C132" s="67" t="s">
        <v>342</v>
      </c>
      <c r="D132" s="100">
        <v>43654.694375</v>
      </c>
    </row>
    <row r="133" spans="1:4" ht="15">
      <c r="A133" s="63" t="s">
        <v>329</v>
      </c>
      <c r="B133" s="63" t="s">
        <v>436</v>
      </c>
      <c r="C133" s="67" t="s">
        <v>341</v>
      </c>
      <c r="D133" s="100">
        <v>43655.71891203704</v>
      </c>
    </row>
    <row r="134" spans="1:4" ht="15">
      <c r="A134" s="63" t="s">
        <v>329</v>
      </c>
      <c r="B134" s="63" t="s">
        <v>312</v>
      </c>
      <c r="C134" s="67" t="s">
        <v>341</v>
      </c>
      <c r="D134" s="100">
        <v>43655.71891203704</v>
      </c>
    </row>
    <row r="135" spans="1:4" ht="15">
      <c r="A135" s="63" t="s">
        <v>329</v>
      </c>
      <c r="B135" s="63" t="s">
        <v>335</v>
      </c>
      <c r="C135" s="67" t="s">
        <v>341</v>
      </c>
      <c r="D135" s="100">
        <v>43655.71891203704</v>
      </c>
    </row>
    <row r="136" spans="1:4" ht="15">
      <c r="A136" s="63" t="s">
        <v>329</v>
      </c>
      <c r="B136" s="63" t="s">
        <v>418</v>
      </c>
      <c r="C136" s="67" t="s">
        <v>341</v>
      </c>
      <c r="D136" s="100">
        <v>43655.71891203704</v>
      </c>
    </row>
    <row r="137" spans="1:4" ht="15">
      <c r="A137" s="63" t="s">
        <v>329</v>
      </c>
      <c r="B137" s="63" t="s">
        <v>334</v>
      </c>
      <c r="C137" s="67" t="s">
        <v>341</v>
      </c>
      <c r="D137" s="100">
        <v>43655.71891203704</v>
      </c>
    </row>
    <row r="138" spans="1:4" ht="15">
      <c r="A138" s="63" t="s">
        <v>329</v>
      </c>
      <c r="B138" s="63" t="s">
        <v>428</v>
      </c>
      <c r="C138" s="67" t="s">
        <v>341</v>
      </c>
      <c r="D138" s="100">
        <v>43655.71891203704</v>
      </c>
    </row>
    <row r="139" spans="1:4" ht="15">
      <c r="A139" s="63" t="s">
        <v>329</v>
      </c>
      <c r="B139" s="63" t="s">
        <v>437</v>
      </c>
      <c r="C139" s="67" t="s">
        <v>341</v>
      </c>
      <c r="D139" s="100">
        <v>43655.71891203704</v>
      </c>
    </row>
    <row r="140" spans="1:4" ht="15">
      <c r="A140" s="63" t="s">
        <v>329</v>
      </c>
      <c r="B140" s="63" t="s">
        <v>424</v>
      </c>
      <c r="C140" s="67" t="s">
        <v>341</v>
      </c>
      <c r="D140" s="100">
        <v>43655.71891203704</v>
      </c>
    </row>
    <row r="141" spans="1:4" ht="15">
      <c r="A141" s="63" t="s">
        <v>329</v>
      </c>
      <c r="B141" s="63" t="s">
        <v>402</v>
      </c>
      <c r="C141" s="67" t="s">
        <v>341</v>
      </c>
      <c r="D141" s="100">
        <v>43655.71891203704</v>
      </c>
    </row>
    <row r="142" spans="1:4" ht="15">
      <c r="A142" s="63" t="s">
        <v>329</v>
      </c>
      <c r="B142" s="63" t="s">
        <v>438</v>
      </c>
      <c r="C142" s="67" t="s">
        <v>341</v>
      </c>
      <c r="D142" s="100">
        <v>43655.71891203704</v>
      </c>
    </row>
    <row r="143" spans="1:4" ht="15">
      <c r="A143" s="63" t="s">
        <v>329</v>
      </c>
      <c r="B143" s="63" t="s">
        <v>406</v>
      </c>
      <c r="C143" s="67" t="s">
        <v>341</v>
      </c>
      <c r="D143" s="100">
        <v>43655.71891203704</v>
      </c>
    </row>
    <row r="144" spans="1:4" ht="15">
      <c r="A144" s="63" t="s">
        <v>329</v>
      </c>
      <c r="B144" s="63" t="s">
        <v>439</v>
      </c>
      <c r="C144" s="67" t="s">
        <v>341</v>
      </c>
      <c r="D144" s="100">
        <v>43655.71891203704</v>
      </c>
    </row>
    <row r="145" spans="1:4" ht="15">
      <c r="A145" s="63" t="s">
        <v>329</v>
      </c>
      <c r="B145" s="63" t="s">
        <v>440</v>
      </c>
      <c r="C145" s="67" t="s">
        <v>341</v>
      </c>
      <c r="D145" s="100">
        <v>43655.71891203704</v>
      </c>
    </row>
    <row r="146" spans="1:4" ht="15">
      <c r="A146" s="63" t="s">
        <v>329</v>
      </c>
      <c r="B146" s="63" t="s">
        <v>441</v>
      </c>
      <c r="C146" s="67" t="s">
        <v>341</v>
      </c>
      <c r="D146" s="100">
        <v>43655.71891203704</v>
      </c>
    </row>
    <row r="147" spans="1:4" ht="15">
      <c r="A147" s="63" t="s">
        <v>329</v>
      </c>
      <c r="B147" s="63" t="s">
        <v>442</v>
      </c>
      <c r="C147" s="67" t="s">
        <v>341</v>
      </c>
      <c r="D147" s="100">
        <v>43655.71891203704</v>
      </c>
    </row>
    <row r="148" spans="1:4" ht="15">
      <c r="A148" s="63" t="s">
        <v>329</v>
      </c>
      <c r="B148" s="63" t="s">
        <v>443</v>
      </c>
      <c r="C148" s="67" t="s">
        <v>341</v>
      </c>
      <c r="D148" s="100">
        <v>43655.71891203704</v>
      </c>
    </row>
    <row r="149" spans="1:4" ht="15">
      <c r="A149" s="63" t="s">
        <v>329</v>
      </c>
      <c r="B149" s="63" t="s">
        <v>399</v>
      </c>
      <c r="C149" s="67" t="s">
        <v>341</v>
      </c>
      <c r="D149" s="100">
        <v>43655.71891203704</v>
      </c>
    </row>
    <row r="150" spans="1:4" ht="15">
      <c r="A150" s="63" t="s">
        <v>329</v>
      </c>
      <c r="B150" s="63" t="s">
        <v>444</v>
      </c>
      <c r="C150" s="67" t="s">
        <v>341</v>
      </c>
      <c r="D150" s="100">
        <v>43655.71891203704</v>
      </c>
    </row>
    <row r="151" spans="1:4" ht="15">
      <c r="A151" s="63" t="s">
        <v>329</v>
      </c>
      <c r="B151" s="63" t="s">
        <v>445</v>
      </c>
      <c r="C151" s="67" t="s">
        <v>341</v>
      </c>
      <c r="D151" s="100">
        <v>43655.71891203704</v>
      </c>
    </row>
    <row r="152" spans="1:4" ht="15">
      <c r="A152" s="63" t="s">
        <v>329</v>
      </c>
      <c r="B152" s="63" t="s">
        <v>446</v>
      </c>
      <c r="C152" s="67" t="s">
        <v>341</v>
      </c>
      <c r="D152" s="100">
        <v>43655.71891203704</v>
      </c>
    </row>
    <row r="153" spans="1:4" ht="15">
      <c r="A153" s="63" t="s">
        <v>330</v>
      </c>
      <c r="B153" s="63" t="s">
        <v>447</v>
      </c>
      <c r="C153" s="67" t="s">
        <v>349</v>
      </c>
      <c r="D153" s="100">
        <v>43656.997569444444</v>
      </c>
    </row>
    <row r="154" spans="1:4" ht="15">
      <c r="A154" s="63" t="s">
        <v>330</v>
      </c>
      <c r="B154" s="63">
        <v>1871</v>
      </c>
      <c r="C154" s="67" t="s">
        <v>349</v>
      </c>
      <c r="D154" s="100">
        <v>43656.997569444444</v>
      </c>
    </row>
    <row r="155" spans="1:4" ht="15">
      <c r="A155" s="63" t="s">
        <v>330</v>
      </c>
      <c r="B155" s="63" t="s">
        <v>387</v>
      </c>
      <c r="C155" s="67" t="s">
        <v>349</v>
      </c>
      <c r="D155" s="100">
        <v>43656.997569444444</v>
      </c>
    </row>
    <row r="156" spans="1:4" ht="15">
      <c r="A156" s="63" t="s">
        <v>330</v>
      </c>
      <c r="B156" s="63" t="s">
        <v>448</v>
      </c>
      <c r="C156" s="67" t="s">
        <v>349</v>
      </c>
      <c r="D156" s="100">
        <v>43656.997569444444</v>
      </c>
    </row>
    <row r="157" spans="1:4" ht="15">
      <c r="A157" s="63" t="s">
        <v>330</v>
      </c>
      <c r="B157" s="63" t="s">
        <v>425</v>
      </c>
      <c r="C157" s="67" t="s">
        <v>349</v>
      </c>
      <c r="D157" s="100">
        <v>43656.997569444444</v>
      </c>
    </row>
    <row r="158" spans="1:4" ht="15">
      <c r="A158" s="63" t="s">
        <v>330</v>
      </c>
      <c r="B158" s="63" t="s">
        <v>306</v>
      </c>
      <c r="C158" s="67" t="s">
        <v>349</v>
      </c>
      <c r="D158" s="100">
        <v>43656.997569444444</v>
      </c>
    </row>
    <row r="159" spans="1:4" ht="15">
      <c r="A159" s="63" t="s">
        <v>330</v>
      </c>
      <c r="B159" s="63" t="s">
        <v>428</v>
      </c>
      <c r="C159" s="67" t="s">
        <v>349</v>
      </c>
      <c r="D159" s="100">
        <v>43656.997569444444</v>
      </c>
    </row>
    <row r="160" spans="1:4" ht="15">
      <c r="A160" s="63" t="s">
        <v>330</v>
      </c>
      <c r="B160" s="63" t="s">
        <v>402</v>
      </c>
      <c r="C160" s="67" t="s">
        <v>349</v>
      </c>
      <c r="D160" s="100">
        <v>43656.997569444444</v>
      </c>
    </row>
    <row r="161" spans="1:4" ht="15">
      <c r="A161" s="63" t="s">
        <v>330</v>
      </c>
      <c r="B161" s="63" t="s">
        <v>406</v>
      </c>
      <c r="C161" s="67" t="s">
        <v>349</v>
      </c>
      <c r="D161" s="100">
        <v>43656.997569444444</v>
      </c>
    </row>
    <row r="162" spans="1:4" ht="15">
      <c r="A162" s="63" t="s">
        <v>330</v>
      </c>
      <c r="B162" s="63" t="s">
        <v>388</v>
      </c>
      <c r="C162" s="67" t="s">
        <v>349</v>
      </c>
      <c r="D162" s="100">
        <v>43656.997569444444</v>
      </c>
    </row>
    <row r="163" spans="1:4" ht="15">
      <c r="A163" s="63" t="s">
        <v>330</v>
      </c>
      <c r="B163" s="63" t="s">
        <v>389</v>
      </c>
      <c r="C163" s="67" t="s">
        <v>349</v>
      </c>
      <c r="D163" s="100">
        <v>43656.997569444444</v>
      </c>
    </row>
    <row r="164" spans="1:4" ht="15">
      <c r="A164" s="63" t="s">
        <v>330</v>
      </c>
      <c r="B164" s="63" t="s">
        <v>430</v>
      </c>
      <c r="C164" s="67" t="s">
        <v>349</v>
      </c>
      <c r="D164" s="100">
        <v>43656.997569444444</v>
      </c>
    </row>
    <row r="165" spans="1:4" ht="15">
      <c r="A165" s="63" t="s">
        <v>330</v>
      </c>
      <c r="B165" s="63" t="s">
        <v>329</v>
      </c>
      <c r="C165" s="67" t="s">
        <v>349</v>
      </c>
      <c r="D165" s="100">
        <v>43656.997569444444</v>
      </c>
    </row>
    <row r="166" spans="1:4" ht="15">
      <c r="A166" s="63" t="s">
        <v>330</v>
      </c>
      <c r="B166" s="63" t="s">
        <v>398</v>
      </c>
      <c r="C166" s="67" t="s">
        <v>349</v>
      </c>
      <c r="D166" s="100">
        <v>43656.997569444444</v>
      </c>
    </row>
    <row r="167" spans="1:4" ht="15">
      <c r="A167" s="63" t="s">
        <v>330</v>
      </c>
      <c r="B167" s="63" t="s">
        <v>371</v>
      </c>
      <c r="C167" s="67" t="s">
        <v>349</v>
      </c>
      <c r="D167" s="100">
        <v>43656.997569444444</v>
      </c>
    </row>
    <row r="168" spans="1:4" ht="15">
      <c r="A168" s="63" t="s">
        <v>330</v>
      </c>
      <c r="B168" s="63" t="s">
        <v>449</v>
      </c>
      <c r="C168" s="67" t="s">
        <v>349</v>
      </c>
      <c r="D168" s="100">
        <v>43656.997569444444</v>
      </c>
    </row>
    <row r="169" spans="1:4" ht="15">
      <c r="A169" s="63" t="s">
        <v>330</v>
      </c>
      <c r="B169" s="63" t="s">
        <v>338</v>
      </c>
      <c r="C169" s="67" t="s">
        <v>349</v>
      </c>
      <c r="D169" s="100">
        <v>43656.997569444444</v>
      </c>
    </row>
    <row r="170" spans="1:4" ht="15">
      <c r="A170" s="63" t="s">
        <v>330</v>
      </c>
      <c r="B170" s="63" t="s">
        <v>358</v>
      </c>
      <c r="C170" s="67" t="s">
        <v>349</v>
      </c>
      <c r="D170" s="100">
        <v>43656.997569444444</v>
      </c>
    </row>
    <row r="171" spans="1:4" ht="15">
      <c r="A171" s="63" t="s">
        <v>330</v>
      </c>
      <c r="B171" s="63" t="s">
        <v>357</v>
      </c>
      <c r="C171" s="67" t="s">
        <v>349</v>
      </c>
      <c r="D171" s="100">
        <v>43656.997569444444</v>
      </c>
    </row>
    <row r="172" spans="1:4" ht="15">
      <c r="A172" s="63" t="s">
        <v>332</v>
      </c>
      <c r="B172" s="63" t="s">
        <v>447</v>
      </c>
      <c r="C172" s="67" t="s">
        <v>348</v>
      </c>
      <c r="D172" s="100">
        <v>43656.988344907404</v>
      </c>
    </row>
    <row r="173" spans="1:4" ht="15">
      <c r="A173" s="63" t="s">
        <v>332</v>
      </c>
      <c r="B173" s="63">
        <v>1871</v>
      </c>
      <c r="C173" s="67" t="s">
        <v>348</v>
      </c>
      <c r="D173" s="100">
        <v>43656.988344907404</v>
      </c>
    </row>
    <row r="174" spans="1:4" ht="15">
      <c r="A174" s="63" t="s">
        <v>332</v>
      </c>
      <c r="B174" s="63" t="s">
        <v>387</v>
      </c>
      <c r="C174" s="67" t="s">
        <v>348</v>
      </c>
      <c r="D174" s="100">
        <v>43656.988344907404</v>
      </c>
    </row>
    <row r="175" spans="1:4" ht="15">
      <c r="A175" s="63" t="s">
        <v>332</v>
      </c>
      <c r="B175" s="63" t="s">
        <v>448</v>
      </c>
      <c r="C175" s="67" t="s">
        <v>348</v>
      </c>
      <c r="D175" s="100">
        <v>43656.988344907404</v>
      </c>
    </row>
    <row r="176" spans="1:4" ht="15">
      <c r="A176" s="63" t="s">
        <v>332</v>
      </c>
      <c r="B176" s="63" t="s">
        <v>425</v>
      </c>
      <c r="C176" s="67" t="s">
        <v>348</v>
      </c>
      <c r="D176" s="100">
        <v>43656.988344907404</v>
      </c>
    </row>
    <row r="177" spans="1:4" ht="15">
      <c r="A177" s="63" t="s">
        <v>332</v>
      </c>
      <c r="B177" s="63" t="s">
        <v>306</v>
      </c>
      <c r="C177" s="67" t="s">
        <v>348</v>
      </c>
      <c r="D177" s="100">
        <v>43656.988344907404</v>
      </c>
    </row>
    <row r="178" spans="1:4" ht="15">
      <c r="A178" s="63" t="s">
        <v>332</v>
      </c>
      <c r="B178" s="63" t="s">
        <v>428</v>
      </c>
      <c r="C178" s="67" t="s">
        <v>348</v>
      </c>
      <c r="D178" s="100">
        <v>43656.988344907404</v>
      </c>
    </row>
    <row r="179" spans="1:4" ht="15">
      <c r="A179" s="63" t="s">
        <v>332</v>
      </c>
      <c r="B179" s="63" t="s">
        <v>402</v>
      </c>
      <c r="C179" s="67" t="s">
        <v>348</v>
      </c>
      <c r="D179" s="100">
        <v>43656.988344907404</v>
      </c>
    </row>
    <row r="180" spans="1:4" ht="15">
      <c r="A180" s="63" t="s">
        <v>332</v>
      </c>
      <c r="B180" s="63" t="s">
        <v>406</v>
      </c>
      <c r="C180" s="67" t="s">
        <v>348</v>
      </c>
      <c r="D180" s="100">
        <v>43656.988344907404</v>
      </c>
    </row>
    <row r="181" spans="1:4" ht="15">
      <c r="A181" s="63" t="s">
        <v>332</v>
      </c>
      <c r="B181" s="63" t="s">
        <v>388</v>
      </c>
      <c r="C181" s="67" t="s">
        <v>348</v>
      </c>
      <c r="D181" s="100">
        <v>43656.988344907404</v>
      </c>
    </row>
    <row r="182" spans="1:4" ht="15">
      <c r="A182" s="63" t="s">
        <v>332</v>
      </c>
      <c r="B182" s="63" t="s">
        <v>389</v>
      </c>
      <c r="C182" s="67" t="s">
        <v>348</v>
      </c>
      <c r="D182" s="100">
        <v>43656.988344907404</v>
      </c>
    </row>
    <row r="183" spans="1:4" ht="15">
      <c r="A183" s="63" t="s">
        <v>332</v>
      </c>
      <c r="B183" s="63" t="s">
        <v>430</v>
      </c>
      <c r="C183" s="67" t="s">
        <v>348</v>
      </c>
      <c r="D183" s="100">
        <v>43656.988344907404</v>
      </c>
    </row>
    <row r="184" spans="1:4" ht="15">
      <c r="A184" s="63" t="s">
        <v>332</v>
      </c>
      <c r="B184" s="63" t="s">
        <v>329</v>
      </c>
      <c r="C184" s="67" t="s">
        <v>348</v>
      </c>
      <c r="D184" s="100">
        <v>43656.988344907404</v>
      </c>
    </row>
    <row r="185" spans="1:4" ht="15">
      <c r="A185" s="63" t="s">
        <v>332</v>
      </c>
      <c r="B185" s="63" t="s">
        <v>398</v>
      </c>
      <c r="C185" s="67" t="s">
        <v>348</v>
      </c>
      <c r="D185" s="100">
        <v>43656.988344907404</v>
      </c>
    </row>
    <row r="186" spans="1:4" ht="15">
      <c r="A186" s="63" t="s">
        <v>332</v>
      </c>
      <c r="B186" s="63" t="s">
        <v>371</v>
      </c>
      <c r="C186" s="67" t="s">
        <v>348</v>
      </c>
      <c r="D186" s="100">
        <v>43656.988344907404</v>
      </c>
    </row>
    <row r="187" spans="1:4" ht="15">
      <c r="A187" s="63" t="s">
        <v>332</v>
      </c>
      <c r="B187" s="63" t="s">
        <v>449</v>
      </c>
      <c r="C187" s="67" t="s">
        <v>348</v>
      </c>
      <c r="D187" s="100">
        <v>43656.988344907404</v>
      </c>
    </row>
    <row r="188" spans="1:4" ht="15">
      <c r="A188" s="63" t="s">
        <v>332</v>
      </c>
      <c r="B188" s="63" t="s">
        <v>338</v>
      </c>
      <c r="C188" s="67" t="s">
        <v>348</v>
      </c>
      <c r="D188" s="100">
        <v>43656.988344907404</v>
      </c>
    </row>
    <row r="189" spans="1:4" ht="15">
      <c r="A189" s="63" t="s">
        <v>332</v>
      </c>
      <c r="B189" s="63" t="s">
        <v>358</v>
      </c>
      <c r="C189" s="67" t="s">
        <v>348</v>
      </c>
      <c r="D189" s="100">
        <v>43656.988344907404</v>
      </c>
    </row>
    <row r="190" spans="1:4" ht="15">
      <c r="A190" s="63" t="s">
        <v>332</v>
      </c>
      <c r="B190" s="63" t="s">
        <v>357</v>
      </c>
      <c r="C190" s="67" t="s">
        <v>348</v>
      </c>
      <c r="D190" s="100">
        <v>43656.988344907404</v>
      </c>
    </row>
    <row r="191" spans="1:4" ht="15">
      <c r="A191" s="63" t="s">
        <v>332</v>
      </c>
      <c r="B191" s="63" t="s">
        <v>432</v>
      </c>
      <c r="C191" s="67" t="s">
        <v>346</v>
      </c>
      <c r="D191" s="100">
        <v>43654.829733796294</v>
      </c>
    </row>
    <row r="192" spans="1:4" ht="15">
      <c r="A192" s="63" t="s">
        <v>332</v>
      </c>
      <c r="B192" s="63" t="s">
        <v>321</v>
      </c>
      <c r="C192" s="67" t="s">
        <v>346</v>
      </c>
      <c r="D192" s="100">
        <v>43654.829733796294</v>
      </c>
    </row>
    <row r="193" spans="1:4" ht="15">
      <c r="A193" s="63" t="s">
        <v>332</v>
      </c>
      <c r="B193" s="63" t="s">
        <v>402</v>
      </c>
      <c r="C193" s="67" t="s">
        <v>346</v>
      </c>
      <c r="D193" s="100">
        <v>43654.829733796294</v>
      </c>
    </row>
    <row r="194" spans="1:4" ht="15">
      <c r="A194" s="63" t="s">
        <v>332</v>
      </c>
      <c r="B194" s="63" t="s">
        <v>438</v>
      </c>
      <c r="C194" s="67" t="s">
        <v>346</v>
      </c>
      <c r="D194" s="100">
        <v>43654.829733796294</v>
      </c>
    </row>
    <row r="195" spans="1:4" ht="15">
      <c r="A195" s="63" t="s">
        <v>332</v>
      </c>
      <c r="B195" s="63" t="s">
        <v>406</v>
      </c>
      <c r="C195" s="67" t="s">
        <v>346</v>
      </c>
      <c r="D195" s="100">
        <v>43654.829733796294</v>
      </c>
    </row>
    <row r="196" spans="1:4" ht="15">
      <c r="A196" s="63" t="s">
        <v>332</v>
      </c>
      <c r="B196" s="63" t="s">
        <v>450</v>
      </c>
      <c r="C196" s="67" t="s">
        <v>346</v>
      </c>
      <c r="D196" s="100">
        <v>43654.829733796294</v>
      </c>
    </row>
    <row r="197" spans="1:4" ht="15">
      <c r="A197" s="63" t="s">
        <v>332</v>
      </c>
      <c r="B197" s="63" t="s">
        <v>451</v>
      </c>
      <c r="C197" s="67" t="s">
        <v>346</v>
      </c>
      <c r="D197" s="100">
        <v>43654.829733796294</v>
      </c>
    </row>
    <row r="198" spans="1:4" ht="15">
      <c r="A198" s="63" t="s">
        <v>332</v>
      </c>
      <c r="B198" s="63" t="s">
        <v>452</v>
      </c>
      <c r="C198" s="67" t="s">
        <v>346</v>
      </c>
      <c r="D198" s="100">
        <v>43654.829733796294</v>
      </c>
    </row>
    <row r="199" spans="1:4" ht="15">
      <c r="A199" s="63" t="s">
        <v>332</v>
      </c>
      <c r="B199" s="63" t="s">
        <v>404</v>
      </c>
      <c r="C199" s="67" t="s">
        <v>346</v>
      </c>
      <c r="D199" s="100">
        <v>43654.829733796294</v>
      </c>
    </row>
    <row r="200" spans="1:4" ht="15">
      <c r="A200" s="63" t="s">
        <v>332</v>
      </c>
      <c r="B200" s="63" t="s">
        <v>330</v>
      </c>
      <c r="C200" s="67" t="s">
        <v>346</v>
      </c>
      <c r="D200" s="100">
        <v>43654.829733796294</v>
      </c>
    </row>
    <row r="201" spans="1:4" ht="15">
      <c r="A201" s="63" t="s">
        <v>332</v>
      </c>
      <c r="B201" s="63" t="s">
        <v>365</v>
      </c>
      <c r="C201" s="67" t="s">
        <v>346</v>
      </c>
      <c r="D201" s="100">
        <v>43654.829733796294</v>
      </c>
    </row>
    <row r="202" spans="1:4" ht="15">
      <c r="A202" s="63" t="s">
        <v>332</v>
      </c>
      <c r="B202" s="63" t="s">
        <v>453</v>
      </c>
      <c r="C202" s="67" t="s">
        <v>346</v>
      </c>
      <c r="D202" s="100">
        <v>43654.829733796294</v>
      </c>
    </row>
    <row r="203" spans="1:4" ht="15">
      <c r="A203" s="63" t="s">
        <v>332</v>
      </c>
      <c r="B203" s="63" t="s">
        <v>454</v>
      </c>
      <c r="C203" s="67" t="s">
        <v>346</v>
      </c>
      <c r="D203" s="100">
        <v>43654.829733796294</v>
      </c>
    </row>
    <row r="204" spans="1:4" ht="15">
      <c r="A204" s="63" t="s">
        <v>332</v>
      </c>
      <c r="B204" s="63" t="s">
        <v>445</v>
      </c>
      <c r="C204" s="67" t="s">
        <v>346</v>
      </c>
      <c r="D204" s="100">
        <v>43654.829733796294</v>
      </c>
    </row>
    <row r="205" spans="1:4" ht="15">
      <c r="A205" s="63" t="s">
        <v>332</v>
      </c>
      <c r="B205" s="63" t="s">
        <v>373</v>
      </c>
      <c r="C205" s="67" t="s">
        <v>346</v>
      </c>
      <c r="D205" s="100">
        <v>43654.829733796294</v>
      </c>
    </row>
    <row r="206" spans="1:4" ht="15">
      <c r="A206" s="63" t="s">
        <v>332</v>
      </c>
      <c r="B206" s="63" t="s">
        <v>320</v>
      </c>
      <c r="C206" s="67" t="s">
        <v>346</v>
      </c>
      <c r="D206" s="100">
        <v>43654.829733796294</v>
      </c>
    </row>
    <row r="207" spans="1:4" ht="15">
      <c r="A207" s="63" t="s">
        <v>332</v>
      </c>
      <c r="B207" s="63" t="s">
        <v>399</v>
      </c>
      <c r="C207" s="67" t="s">
        <v>346</v>
      </c>
      <c r="D207" s="100">
        <v>43654.829733796294</v>
      </c>
    </row>
    <row r="208" spans="1:4" ht="15">
      <c r="A208" s="63" t="s">
        <v>332</v>
      </c>
      <c r="B208" s="63" t="s">
        <v>443</v>
      </c>
      <c r="C208" s="67" t="s">
        <v>346</v>
      </c>
      <c r="D208" s="100">
        <v>43654.829733796294</v>
      </c>
    </row>
    <row r="209" spans="1:4" ht="15">
      <c r="A209" s="63" t="s">
        <v>332</v>
      </c>
      <c r="B209" s="63">
        <v>5</v>
      </c>
      <c r="C209" s="67" t="s">
        <v>346</v>
      </c>
      <c r="D209" s="100">
        <v>43654.829733796294</v>
      </c>
    </row>
    <row r="210" spans="1:4" ht="15">
      <c r="A210" s="63" t="s">
        <v>332</v>
      </c>
      <c r="B210" s="63" t="s">
        <v>374</v>
      </c>
      <c r="C210" s="67" t="s">
        <v>346</v>
      </c>
      <c r="D210" s="100">
        <v>43654.829733796294</v>
      </c>
    </row>
    <row r="211" spans="1:4" ht="15">
      <c r="A211" s="63" t="s">
        <v>332</v>
      </c>
      <c r="B211" s="63" t="s">
        <v>312</v>
      </c>
      <c r="C211" s="67" t="s">
        <v>346</v>
      </c>
      <c r="D211" s="100">
        <v>43654.829733796294</v>
      </c>
    </row>
    <row r="212" spans="1:4" ht="15">
      <c r="A212" s="63" t="s">
        <v>332</v>
      </c>
      <c r="B212" s="63" t="s">
        <v>455</v>
      </c>
      <c r="C212" s="67" t="s">
        <v>346</v>
      </c>
      <c r="D212" s="100">
        <v>43654.829733796294</v>
      </c>
    </row>
    <row r="213" spans="1:4" ht="15">
      <c r="A213" s="63" t="s">
        <v>332</v>
      </c>
      <c r="B213" s="63" t="s">
        <v>430</v>
      </c>
      <c r="C213" s="67" t="s">
        <v>346</v>
      </c>
      <c r="D213" s="100">
        <v>43654.829733796294</v>
      </c>
    </row>
    <row r="214" spans="1:4" ht="15">
      <c r="A214" s="63" t="s">
        <v>332</v>
      </c>
      <c r="B214" s="63" t="s">
        <v>325</v>
      </c>
      <c r="C214" s="67" t="s">
        <v>346</v>
      </c>
      <c r="D214" s="100">
        <v>43654.829733796294</v>
      </c>
    </row>
    <row r="215" spans="1:4" ht="15">
      <c r="A215" s="63" t="s">
        <v>332</v>
      </c>
      <c r="B215" s="63" t="s">
        <v>375</v>
      </c>
      <c r="C215" s="67" t="s">
        <v>346</v>
      </c>
      <c r="D215" s="100">
        <v>43654.829733796294</v>
      </c>
    </row>
    <row r="216" spans="1:4" ht="15">
      <c r="A216" s="63" t="s">
        <v>332</v>
      </c>
      <c r="B216" s="63" t="s">
        <v>376</v>
      </c>
      <c r="C216" s="67" t="s">
        <v>346</v>
      </c>
      <c r="D216" s="100">
        <v>43654.829733796294</v>
      </c>
    </row>
    <row r="217" spans="1:4" ht="15">
      <c r="A217" s="63" t="s">
        <v>332</v>
      </c>
      <c r="B217" s="63" t="s">
        <v>425</v>
      </c>
      <c r="C217" s="67" t="s">
        <v>346</v>
      </c>
      <c r="D217" s="100">
        <v>43654.829733796294</v>
      </c>
    </row>
    <row r="218" spans="1:4" ht="15">
      <c r="A218" s="63" t="s">
        <v>332</v>
      </c>
      <c r="B218" s="63" t="s">
        <v>324</v>
      </c>
      <c r="C218" s="67" t="s">
        <v>346</v>
      </c>
      <c r="D218" s="100">
        <v>43654.829733796294</v>
      </c>
    </row>
    <row r="219" spans="1:4" ht="15">
      <c r="A219" s="63" t="s">
        <v>332</v>
      </c>
      <c r="B219" s="63" t="s">
        <v>372</v>
      </c>
      <c r="C219" s="67" t="s">
        <v>346</v>
      </c>
      <c r="D219" s="100">
        <v>43654.829733796294</v>
      </c>
    </row>
    <row r="220" spans="1:4" ht="15">
      <c r="A220" s="63" t="s">
        <v>332</v>
      </c>
      <c r="B220" s="63" t="s">
        <v>428</v>
      </c>
      <c r="C220" s="67" t="s">
        <v>346</v>
      </c>
      <c r="D220" s="100">
        <v>43654.829733796294</v>
      </c>
    </row>
    <row r="221" spans="1:4" ht="15">
      <c r="A221" s="63" t="s">
        <v>332</v>
      </c>
      <c r="B221" s="63" t="s">
        <v>456</v>
      </c>
      <c r="C221" s="67" t="s">
        <v>346</v>
      </c>
      <c r="D221" s="100">
        <v>43654.829733796294</v>
      </c>
    </row>
    <row r="222" spans="1:4" ht="15">
      <c r="A222" s="63" t="s">
        <v>332</v>
      </c>
      <c r="B222" s="63" t="s">
        <v>423</v>
      </c>
      <c r="C222" s="67" t="s">
        <v>346</v>
      </c>
      <c r="D222" s="100">
        <v>43654.829733796294</v>
      </c>
    </row>
    <row r="223" spans="1:4" ht="15">
      <c r="A223" s="63" t="s">
        <v>332</v>
      </c>
      <c r="B223" s="63" t="s">
        <v>377</v>
      </c>
      <c r="C223" s="67" t="s">
        <v>346</v>
      </c>
      <c r="D223" s="100">
        <v>43654.829733796294</v>
      </c>
    </row>
    <row r="224" spans="1:4" ht="15">
      <c r="A224" s="63" t="s">
        <v>332</v>
      </c>
      <c r="B224" s="63" t="s">
        <v>378</v>
      </c>
      <c r="C224" s="67" t="s">
        <v>346</v>
      </c>
      <c r="D224" s="100">
        <v>43654.829733796294</v>
      </c>
    </row>
    <row r="225" spans="1:4" ht="15">
      <c r="A225" s="63" t="s">
        <v>332</v>
      </c>
      <c r="B225" s="63" t="s">
        <v>317</v>
      </c>
      <c r="C225" s="67" t="s">
        <v>346</v>
      </c>
      <c r="D225" s="100">
        <v>43654.829733796294</v>
      </c>
    </row>
    <row r="226" spans="1:4" ht="15">
      <c r="A226" s="63" t="s">
        <v>332</v>
      </c>
      <c r="B226" s="63" t="s">
        <v>457</v>
      </c>
      <c r="C226" s="67" t="s">
        <v>346</v>
      </c>
      <c r="D226" s="100">
        <v>43654.829733796294</v>
      </c>
    </row>
    <row r="227" spans="1:4" ht="15">
      <c r="A227" s="63" t="s">
        <v>332</v>
      </c>
      <c r="B227" s="63" t="s">
        <v>458</v>
      </c>
      <c r="C227" s="67" t="s">
        <v>346</v>
      </c>
      <c r="D227" s="100">
        <v>43654.829733796294</v>
      </c>
    </row>
    <row r="228" spans="1:4" ht="15">
      <c r="A228" s="63" t="s">
        <v>332</v>
      </c>
      <c r="B228" s="63" t="s">
        <v>459</v>
      </c>
      <c r="C228" s="67" t="s">
        <v>346</v>
      </c>
      <c r="D228" s="100">
        <v>43654.829733796294</v>
      </c>
    </row>
    <row r="229" spans="1:4" ht="15">
      <c r="A229" s="63" t="s">
        <v>330</v>
      </c>
      <c r="B229" s="63" t="s">
        <v>460</v>
      </c>
      <c r="C229" s="67" t="s">
        <v>347</v>
      </c>
      <c r="D229" s="100">
        <v>43654.77043981481</v>
      </c>
    </row>
    <row r="230" spans="1:4" ht="15">
      <c r="A230" s="63" t="s">
        <v>330</v>
      </c>
      <c r="B230" s="63" t="s">
        <v>319</v>
      </c>
      <c r="C230" s="67" t="s">
        <v>347</v>
      </c>
      <c r="D230" s="100">
        <v>43654.77043981481</v>
      </c>
    </row>
    <row r="231" spans="1:4" ht="15">
      <c r="A231" s="63" t="s">
        <v>330</v>
      </c>
      <c r="B231" s="63" t="s">
        <v>430</v>
      </c>
      <c r="C231" s="67" t="s">
        <v>347</v>
      </c>
      <c r="D231" s="100">
        <v>43654.77043981481</v>
      </c>
    </row>
    <row r="232" spans="1:4" ht="15">
      <c r="A232" s="63" t="s">
        <v>330</v>
      </c>
      <c r="B232" s="63" t="s">
        <v>399</v>
      </c>
      <c r="C232" s="67" t="s">
        <v>347</v>
      </c>
      <c r="D232" s="100">
        <v>43654.77043981481</v>
      </c>
    </row>
    <row r="233" spans="1:4" ht="15">
      <c r="A233" s="63" t="s">
        <v>330</v>
      </c>
      <c r="B233" s="63" t="s">
        <v>424</v>
      </c>
      <c r="C233" s="67" t="s">
        <v>347</v>
      </c>
      <c r="D233" s="100">
        <v>43654.77043981481</v>
      </c>
    </row>
    <row r="234" spans="1:4" ht="15">
      <c r="A234" s="63" t="s">
        <v>330</v>
      </c>
      <c r="B234" s="63" t="s">
        <v>390</v>
      </c>
      <c r="C234" s="67" t="s">
        <v>347</v>
      </c>
      <c r="D234" s="100">
        <v>43654.77043981481</v>
      </c>
    </row>
    <row r="235" spans="1:4" ht="15">
      <c r="A235" s="63" t="s">
        <v>330</v>
      </c>
      <c r="B235" s="63" t="s">
        <v>453</v>
      </c>
      <c r="C235" s="67" t="s">
        <v>347</v>
      </c>
      <c r="D235" s="100">
        <v>43654.77043981481</v>
      </c>
    </row>
    <row r="236" spans="1:4" ht="15">
      <c r="A236" s="63" t="s">
        <v>330</v>
      </c>
      <c r="B236" s="63" t="s">
        <v>461</v>
      </c>
      <c r="C236" s="67" t="s">
        <v>347</v>
      </c>
      <c r="D236" s="100">
        <v>43654.77043981481</v>
      </c>
    </row>
    <row r="237" spans="1:4" ht="15">
      <c r="A237" s="63" t="s">
        <v>330</v>
      </c>
      <c r="B237" s="63" t="s">
        <v>330</v>
      </c>
      <c r="C237" s="67" t="s">
        <v>347</v>
      </c>
      <c r="D237" s="100">
        <v>43654.77043981481</v>
      </c>
    </row>
    <row r="238" spans="1:4" ht="15">
      <c r="A238" s="63" t="s">
        <v>330</v>
      </c>
      <c r="B238" s="63" t="s">
        <v>462</v>
      </c>
      <c r="C238" s="67" t="s">
        <v>347</v>
      </c>
      <c r="D238" s="100">
        <v>43654.77043981481</v>
      </c>
    </row>
    <row r="239" spans="1:4" ht="15">
      <c r="A239" s="63" t="s">
        <v>330</v>
      </c>
      <c r="B239" s="63" t="s">
        <v>450</v>
      </c>
      <c r="C239" s="67" t="s">
        <v>347</v>
      </c>
      <c r="D239" s="100">
        <v>43654.77043981481</v>
      </c>
    </row>
    <row r="240" spans="1:4" ht="15">
      <c r="A240" s="63" t="s">
        <v>330</v>
      </c>
      <c r="B240" s="63" t="s">
        <v>451</v>
      </c>
      <c r="C240" s="67" t="s">
        <v>347</v>
      </c>
      <c r="D240" s="100">
        <v>43654.77043981481</v>
      </c>
    </row>
    <row r="241" spans="1:4" ht="15">
      <c r="A241" s="63" t="s">
        <v>330</v>
      </c>
      <c r="B241" s="63" t="s">
        <v>452</v>
      </c>
      <c r="C241" s="67" t="s">
        <v>347</v>
      </c>
      <c r="D241" s="100">
        <v>43654.77043981481</v>
      </c>
    </row>
    <row r="242" spans="1:4" ht="15">
      <c r="A242" s="63" t="s">
        <v>330</v>
      </c>
      <c r="B242" s="63" t="s">
        <v>404</v>
      </c>
      <c r="C242" s="67" t="s">
        <v>347</v>
      </c>
      <c r="D242" s="100">
        <v>43654.77043981481</v>
      </c>
    </row>
    <row r="243" spans="1:4" ht="15">
      <c r="A243" s="63" t="s">
        <v>330</v>
      </c>
      <c r="B243" s="63" t="s">
        <v>463</v>
      </c>
      <c r="C243" s="67" t="s">
        <v>347</v>
      </c>
      <c r="D243" s="100">
        <v>43654.77043981481</v>
      </c>
    </row>
    <row r="244" spans="1:4" ht="15">
      <c r="A244" s="63" t="s">
        <v>330</v>
      </c>
      <c r="B244" s="63" t="s">
        <v>310</v>
      </c>
      <c r="C244" s="67" t="s">
        <v>347</v>
      </c>
      <c r="D244" s="100">
        <v>43654.77043981481</v>
      </c>
    </row>
    <row r="245" spans="1:4" ht="15">
      <c r="A245" s="63" t="s">
        <v>330</v>
      </c>
      <c r="B245" s="63" t="s">
        <v>464</v>
      </c>
      <c r="C245" s="67" t="s">
        <v>347</v>
      </c>
      <c r="D245" s="100">
        <v>43654.77043981481</v>
      </c>
    </row>
    <row r="246" spans="1:4" ht="15">
      <c r="A246" s="63" t="s">
        <v>330</v>
      </c>
      <c r="B246" s="63" t="s">
        <v>426</v>
      </c>
      <c r="C246" s="67" t="s">
        <v>347</v>
      </c>
      <c r="D246" s="100">
        <v>43654.77043981481</v>
      </c>
    </row>
    <row r="247" spans="1:4" ht="15">
      <c r="A247" s="63" t="s">
        <v>330</v>
      </c>
      <c r="B247" s="63" t="s">
        <v>465</v>
      </c>
      <c r="C247" s="67" t="s">
        <v>347</v>
      </c>
      <c r="D247" s="100">
        <v>43654.77043981481</v>
      </c>
    </row>
    <row r="248" spans="1:4" ht="15">
      <c r="A248" s="63" t="s">
        <v>330</v>
      </c>
      <c r="B248" s="63" t="s">
        <v>391</v>
      </c>
      <c r="C248" s="67" t="s">
        <v>347</v>
      </c>
      <c r="D248" s="100">
        <v>43654.77043981481</v>
      </c>
    </row>
    <row r="249" spans="1:4" ht="15">
      <c r="A249" s="63" t="s">
        <v>330</v>
      </c>
      <c r="B249" s="63" t="s">
        <v>427</v>
      </c>
      <c r="C249" s="67" t="s">
        <v>347</v>
      </c>
      <c r="D249" s="100">
        <v>43654.77043981481</v>
      </c>
    </row>
    <row r="250" spans="1:4" ht="15">
      <c r="A250" s="63" t="s">
        <v>330</v>
      </c>
      <c r="B250" s="63" t="s">
        <v>429</v>
      </c>
      <c r="C250" s="67" t="s">
        <v>347</v>
      </c>
      <c r="D250" s="100">
        <v>43654.77043981481</v>
      </c>
    </row>
    <row r="251" spans="1:4" ht="15">
      <c r="A251" s="63" t="s">
        <v>330</v>
      </c>
      <c r="B251" s="63" t="s">
        <v>438</v>
      </c>
      <c r="C251" s="67" t="s">
        <v>347</v>
      </c>
      <c r="D251" s="100">
        <v>43654.77043981481</v>
      </c>
    </row>
    <row r="252" spans="1:4" ht="15">
      <c r="A252" s="63" t="s">
        <v>330</v>
      </c>
      <c r="B252" s="63" t="s">
        <v>466</v>
      </c>
      <c r="C252" s="67" t="s">
        <v>347</v>
      </c>
      <c r="D252" s="100">
        <v>43654.77043981481</v>
      </c>
    </row>
    <row r="253" spans="1:4" ht="15">
      <c r="A253" s="63" t="s">
        <v>330</v>
      </c>
      <c r="B253" s="63" t="s">
        <v>467</v>
      </c>
      <c r="C253" s="67" t="s">
        <v>347</v>
      </c>
      <c r="D253" s="100">
        <v>43654.77043981481</v>
      </c>
    </row>
    <row r="254" spans="1:4" ht="15">
      <c r="A254" s="63" t="s">
        <v>330</v>
      </c>
      <c r="B254" s="63" t="s">
        <v>468</v>
      </c>
      <c r="C254" s="67" t="s">
        <v>347</v>
      </c>
      <c r="D254" s="100">
        <v>43654.77043981481</v>
      </c>
    </row>
    <row r="255" spans="1:4" ht="15">
      <c r="A255" s="63" t="s">
        <v>330</v>
      </c>
      <c r="B255" s="63" t="s">
        <v>434</v>
      </c>
      <c r="C255" s="67" t="s">
        <v>347</v>
      </c>
      <c r="D255" s="100">
        <v>43654.77043981481</v>
      </c>
    </row>
    <row r="256" spans="1:4" ht="15">
      <c r="A256" s="63" t="s">
        <v>330</v>
      </c>
      <c r="B256" s="63" t="s">
        <v>414</v>
      </c>
      <c r="C256" s="67" t="s">
        <v>347</v>
      </c>
      <c r="D256" s="100">
        <v>43654.77043981481</v>
      </c>
    </row>
    <row r="257" spans="1:4" ht="15">
      <c r="A257" s="63" t="s">
        <v>330</v>
      </c>
      <c r="B257" s="63" t="s">
        <v>469</v>
      </c>
      <c r="C257" s="67" t="s">
        <v>347</v>
      </c>
      <c r="D257" s="100">
        <v>43654.77043981481</v>
      </c>
    </row>
    <row r="258" spans="1:4" ht="15">
      <c r="A258" s="63" t="s">
        <v>330</v>
      </c>
      <c r="B258" s="63" t="s">
        <v>470</v>
      </c>
      <c r="C258" s="67" t="s">
        <v>347</v>
      </c>
      <c r="D258" s="100">
        <v>43654.77043981481</v>
      </c>
    </row>
    <row r="259" spans="1:4" ht="15">
      <c r="A259" s="63" t="s">
        <v>330</v>
      </c>
      <c r="B259" s="63" t="s">
        <v>431</v>
      </c>
      <c r="C259" s="67" t="s">
        <v>347</v>
      </c>
      <c r="D259" s="100">
        <v>43654.77043981481</v>
      </c>
    </row>
    <row r="260" spans="1:4" ht="15">
      <c r="A260" s="63" t="s">
        <v>330</v>
      </c>
      <c r="B260" s="63" t="s">
        <v>471</v>
      </c>
      <c r="C260" s="67" t="s">
        <v>347</v>
      </c>
      <c r="D260" s="100">
        <v>43654.77043981481</v>
      </c>
    </row>
    <row r="261" spans="1:4" ht="15">
      <c r="A261" s="63" t="s">
        <v>330</v>
      </c>
      <c r="B261" s="63" t="s">
        <v>326</v>
      </c>
      <c r="C261" s="67" t="s">
        <v>347</v>
      </c>
      <c r="D261" s="100">
        <v>43654.77043981481</v>
      </c>
    </row>
    <row r="262" spans="1:4" ht="15">
      <c r="A262" s="63" t="s">
        <v>330</v>
      </c>
      <c r="B262" s="63" t="s">
        <v>392</v>
      </c>
      <c r="C262" s="67" t="s">
        <v>347</v>
      </c>
      <c r="D262" s="100">
        <v>43654.77043981481</v>
      </c>
    </row>
    <row r="263" spans="1:4" ht="15">
      <c r="A263" s="63" t="s">
        <v>331</v>
      </c>
      <c r="B263" s="63" t="s">
        <v>460</v>
      </c>
      <c r="C263" s="67" t="s">
        <v>345</v>
      </c>
      <c r="D263" s="100">
        <v>43655.006423611114</v>
      </c>
    </row>
    <row r="264" spans="1:4" ht="15">
      <c r="A264" s="63" t="s">
        <v>331</v>
      </c>
      <c r="B264" s="63" t="s">
        <v>319</v>
      </c>
      <c r="C264" s="67" t="s">
        <v>345</v>
      </c>
      <c r="D264" s="100">
        <v>43655.006423611114</v>
      </c>
    </row>
    <row r="265" spans="1:4" ht="15">
      <c r="A265" s="63" t="s">
        <v>331</v>
      </c>
      <c r="B265" s="63" t="s">
        <v>430</v>
      </c>
      <c r="C265" s="67" t="s">
        <v>345</v>
      </c>
      <c r="D265" s="100">
        <v>43655.006423611114</v>
      </c>
    </row>
    <row r="266" spans="1:4" ht="15">
      <c r="A266" s="63" t="s">
        <v>331</v>
      </c>
      <c r="B266" s="63" t="s">
        <v>399</v>
      </c>
      <c r="C266" s="67" t="s">
        <v>345</v>
      </c>
      <c r="D266" s="100">
        <v>43655.006423611114</v>
      </c>
    </row>
    <row r="267" spans="1:4" ht="15">
      <c r="A267" s="63" t="s">
        <v>331</v>
      </c>
      <c r="B267" s="63" t="s">
        <v>424</v>
      </c>
      <c r="C267" s="67" t="s">
        <v>345</v>
      </c>
      <c r="D267" s="100">
        <v>43655.006423611114</v>
      </c>
    </row>
    <row r="268" spans="1:4" ht="15">
      <c r="A268" s="63" t="s">
        <v>331</v>
      </c>
      <c r="B268" s="63" t="s">
        <v>390</v>
      </c>
      <c r="C268" s="67" t="s">
        <v>345</v>
      </c>
      <c r="D268" s="100">
        <v>43655.006423611114</v>
      </c>
    </row>
    <row r="269" spans="1:4" ht="15">
      <c r="A269" s="63" t="s">
        <v>331</v>
      </c>
      <c r="B269" s="63" t="s">
        <v>453</v>
      </c>
      <c r="C269" s="67" t="s">
        <v>345</v>
      </c>
      <c r="D269" s="100">
        <v>43655.006423611114</v>
      </c>
    </row>
    <row r="270" spans="1:4" ht="15">
      <c r="A270" s="63" t="s">
        <v>331</v>
      </c>
      <c r="B270" s="63" t="s">
        <v>461</v>
      </c>
      <c r="C270" s="67" t="s">
        <v>345</v>
      </c>
      <c r="D270" s="100">
        <v>43655.006423611114</v>
      </c>
    </row>
    <row r="271" spans="1:4" ht="15">
      <c r="A271" s="63" t="s">
        <v>331</v>
      </c>
      <c r="B271" s="63" t="s">
        <v>330</v>
      </c>
      <c r="C271" s="67" t="s">
        <v>345</v>
      </c>
      <c r="D271" s="100">
        <v>43655.006423611114</v>
      </c>
    </row>
    <row r="272" spans="1:4" ht="15">
      <c r="A272" s="63" t="s">
        <v>331</v>
      </c>
      <c r="B272" s="63" t="s">
        <v>462</v>
      </c>
      <c r="C272" s="67" t="s">
        <v>345</v>
      </c>
      <c r="D272" s="100">
        <v>43655.006423611114</v>
      </c>
    </row>
    <row r="273" spans="1:4" ht="15">
      <c r="A273" s="63" t="s">
        <v>331</v>
      </c>
      <c r="B273" s="63" t="s">
        <v>450</v>
      </c>
      <c r="C273" s="67" t="s">
        <v>345</v>
      </c>
      <c r="D273" s="100">
        <v>43655.006423611114</v>
      </c>
    </row>
    <row r="274" spans="1:4" ht="15">
      <c r="A274" s="63" t="s">
        <v>331</v>
      </c>
      <c r="B274" s="63" t="s">
        <v>451</v>
      </c>
      <c r="C274" s="67" t="s">
        <v>345</v>
      </c>
      <c r="D274" s="100">
        <v>43655.006423611114</v>
      </c>
    </row>
    <row r="275" spans="1:4" ht="15">
      <c r="A275" s="63" t="s">
        <v>331</v>
      </c>
      <c r="B275" s="63" t="s">
        <v>452</v>
      </c>
      <c r="C275" s="67" t="s">
        <v>345</v>
      </c>
      <c r="D275" s="100">
        <v>43655.006423611114</v>
      </c>
    </row>
    <row r="276" spans="1:4" ht="15">
      <c r="A276" s="63" t="s">
        <v>331</v>
      </c>
      <c r="B276" s="63" t="s">
        <v>404</v>
      </c>
      <c r="C276" s="67" t="s">
        <v>345</v>
      </c>
      <c r="D276" s="100">
        <v>43655.006423611114</v>
      </c>
    </row>
    <row r="277" spans="1:4" ht="15">
      <c r="A277" s="63" t="s">
        <v>331</v>
      </c>
      <c r="B277" s="63" t="s">
        <v>463</v>
      </c>
      <c r="C277" s="67" t="s">
        <v>345</v>
      </c>
      <c r="D277" s="100">
        <v>43655.006423611114</v>
      </c>
    </row>
    <row r="278" spans="1:4" ht="15">
      <c r="A278" s="63" t="s">
        <v>331</v>
      </c>
      <c r="B278" s="63" t="s">
        <v>310</v>
      </c>
      <c r="C278" s="67" t="s">
        <v>345</v>
      </c>
      <c r="D278" s="100">
        <v>43655.006423611114</v>
      </c>
    </row>
    <row r="279" spans="1:4" ht="15">
      <c r="A279" s="63" t="s">
        <v>331</v>
      </c>
      <c r="B279" s="63" t="s">
        <v>464</v>
      </c>
      <c r="C279" s="67" t="s">
        <v>345</v>
      </c>
      <c r="D279" s="100">
        <v>43655.006423611114</v>
      </c>
    </row>
    <row r="280" spans="1:4" ht="15">
      <c r="A280" s="63" t="s">
        <v>331</v>
      </c>
      <c r="B280" s="63" t="s">
        <v>426</v>
      </c>
      <c r="C280" s="67" t="s">
        <v>345</v>
      </c>
      <c r="D280" s="100">
        <v>43655.006423611114</v>
      </c>
    </row>
    <row r="281" spans="1:4" ht="15">
      <c r="A281" s="63" t="s">
        <v>331</v>
      </c>
      <c r="B281" s="63" t="s">
        <v>465</v>
      </c>
      <c r="C281" s="67" t="s">
        <v>345</v>
      </c>
      <c r="D281" s="100">
        <v>43655.006423611114</v>
      </c>
    </row>
    <row r="282" spans="1:4" ht="15">
      <c r="A282" s="63" t="s">
        <v>331</v>
      </c>
      <c r="B282" s="63" t="s">
        <v>391</v>
      </c>
      <c r="C282" s="67" t="s">
        <v>345</v>
      </c>
      <c r="D282" s="100">
        <v>43655.006423611114</v>
      </c>
    </row>
    <row r="283" spans="1:4" ht="15">
      <c r="A283" s="63" t="s">
        <v>331</v>
      </c>
      <c r="B283" s="63" t="s">
        <v>427</v>
      </c>
      <c r="C283" s="67" t="s">
        <v>345</v>
      </c>
      <c r="D283" s="100">
        <v>43655.006423611114</v>
      </c>
    </row>
    <row r="284" spans="1:4" ht="15">
      <c r="A284" s="63" t="s">
        <v>331</v>
      </c>
      <c r="B284" s="63" t="s">
        <v>429</v>
      </c>
      <c r="C284" s="67" t="s">
        <v>345</v>
      </c>
      <c r="D284" s="100">
        <v>43655.006423611114</v>
      </c>
    </row>
    <row r="285" spans="1:4" ht="15">
      <c r="A285" s="63" t="s">
        <v>331</v>
      </c>
      <c r="B285" s="63" t="s">
        <v>438</v>
      </c>
      <c r="C285" s="67" t="s">
        <v>345</v>
      </c>
      <c r="D285" s="100">
        <v>43655.006423611114</v>
      </c>
    </row>
    <row r="286" spans="1:4" ht="15">
      <c r="A286" s="63" t="s">
        <v>331</v>
      </c>
      <c r="B286" s="63" t="s">
        <v>466</v>
      </c>
      <c r="C286" s="67" t="s">
        <v>345</v>
      </c>
      <c r="D286" s="100">
        <v>43655.006423611114</v>
      </c>
    </row>
    <row r="287" spans="1:4" ht="15">
      <c r="A287" s="63" t="s">
        <v>331</v>
      </c>
      <c r="B287" s="63" t="s">
        <v>467</v>
      </c>
      <c r="C287" s="67" t="s">
        <v>345</v>
      </c>
      <c r="D287" s="100">
        <v>43655.006423611114</v>
      </c>
    </row>
    <row r="288" spans="1:4" ht="15">
      <c r="A288" s="63" t="s">
        <v>331</v>
      </c>
      <c r="B288" s="63" t="s">
        <v>468</v>
      </c>
      <c r="C288" s="67" t="s">
        <v>345</v>
      </c>
      <c r="D288" s="100">
        <v>43655.006423611114</v>
      </c>
    </row>
    <row r="289" spans="1:4" ht="15">
      <c r="A289" s="63" t="s">
        <v>331</v>
      </c>
      <c r="B289" s="63" t="s">
        <v>434</v>
      </c>
      <c r="C289" s="67" t="s">
        <v>345</v>
      </c>
      <c r="D289" s="100">
        <v>43655.006423611114</v>
      </c>
    </row>
    <row r="290" spans="1:4" ht="15">
      <c r="A290" s="63" t="s">
        <v>331</v>
      </c>
      <c r="B290" s="63" t="s">
        <v>414</v>
      </c>
      <c r="C290" s="67" t="s">
        <v>345</v>
      </c>
      <c r="D290" s="100">
        <v>43655.006423611114</v>
      </c>
    </row>
    <row r="291" spans="1:4" ht="15">
      <c r="A291" s="63" t="s">
        <v>331</v>
      </c>
      <c r="B291" s="63" t="s">
        <v>469</v>
      </c>
      <c r="C291" s="67" t="s">
        <v>345</v>
      </c>
      <c r="D291" s="100">
        <v>43655.006423611114</v>
      </c>
    </row>
    <row r="292" spans="1:4" ht="15">
      <c r="A292" s="63" t="s">
        <v>331</v>
      </c>
      <c r="B292" s="63" t="s">
        <v>470</v>
      </c>
      <c r="C292" s="67" t="s">
        <v>345</v>
      </c>
      <c r="D292" s="100">
        <v>43655.006423611114</v>
      </c>
    </row>
    <row r="293" spans="1:4" ht="15">
      <c r="A293" s="63" t="s">
        <v>331</v>
      </c>
      <c r="B293" s="63" t="s">
        <v>431</v>
      </c>
      <c r="C293" s="67" t="s">
        <v>345</v>
      </c>
      <c r="D293" s="100">
        <v>43655.006423611114</v>
      </c>
    </row>
    <row r="294" spans="1:4" ht="15">
      <c r="A294" s="63" t="s">
        <v>331</v>
      </c>
      <c r="B294" s="63" t="s">
        <v>471</v>
      </c>
      <c r="C294" s="67" t="s">
        <v>345</v>
      </c>
      <c r="D294" s="100">
        <v>43655.006423611114</v>
      </c>
    </row>
    <row r="295" spans="1:4" ht="15">
      <c r="A295" s="63" t="s">
        <v>331</v>
      </c>
      <c r="B295" s="63" t="s">
        <v>326</v>
      </c>
      <c r="C295" s="67" t="s">
        <v>345</v>
      </c>
      <c r="D295" s="100">
        <v>43655.006423611114</v>
      </c>
    </row>
    <row r="296" spans="1:4" ht="15">
      <c r="A296" s="63" t="s">
        <v>331</v>
      </c>
      <c r="B296" s="63" t="s">
        <v>392</v>
      </c>
      <c r="C296" s="67" t="s">
        <v>345</v>
      </c>
      <c r="D296" s="100">
        <v>43655.006423611114</v>
      </c>
    </row>
    <row r="297" spans="1:4" ht="15">
      <c r="A297" s="63" t="s">
        <v>328</v>
      </c>
      <c r="B297" s="63" t="s">
        <v>472</v>
      </c>
      <c r="C297" s="67" t="s">
        <v>340</v>
      </c>
      <c r="D297" s="100">
        <v>43655.60502314815</v>
      </c>
    </row>
    <row r="298" spans="1:4" ht="15">
      <c r="A298" s="63" t="s">
        <v>328</v>
      </c>
      <c r="B298" s="63" t="s">
        <v>473</v>
      </c>
      <c r="C298" s="67" t="s">
        <v>340</v>
      </c>
      <c r="D298" s="100">
        <v>43655.60502314815</v>
      </c>
    </row>
    <row r="299" spans="1:4" ht="15">
      <c r="A299" s="63" t="s">
        <v>328</v>
      </c>
      <c r="B299" s="63" t="s">
        <v>474</v>
      </c>
      <c r="C299" s="67" t="s">
        <v>340</v>
      </c>
      <c r="D299" s="100">
        <v>43655.60502314815</v>
      </c>
    </row>
    <row r="300" spans="1:4" ht="15">
      <c r="A300" s="63" t="s">
        <v>328</v>
      </c>
      <c r="B300" s="63" t="s">
        <v>465</v>
      </c>
      <c r="C300" s="67" t="s">
        <v>340</v>
      </c>
      <c r="D300" s="100">
        <v>43655.60502314815</v>
      </c>
    </row>
    <row r="301" spans="1:4" ht="15">
      <c r="A301" s="63" t="s">
        <v>328</v>
      </c>
      <c r="B301" s="63" t="s">
        <v>475</v>
      </c>
      <c r="C301" s="67" t="s">
        <v>340</v>
      </c>
      <c r="D301" s="100">
        <v>43655.60502314815</v>
      </c>
    </row>
    <row r="302" spans="1:4" ht="15">
      <c r="A302" s="63" t="s">
        <v>328</v>
      </c>
      <c r="B302" s="63" t="s">
        <v>370</v>
      </c>
      <c r="C302" s="67" t="s">
        <v>340</v>
      </c>
      <c r="D302" s="100">
        <v>43655.60502314815</v>
      </c>
    </row>
    <row r="303" spans="1:4" ht="15">
      <c r="A303" s="63" t="s">
        <v>328</v>
      </c>
      <c r="B303" s="63" t="s">
        <v>476</v>
      </c>
      <c r="C303" s="67" t="s">
        <v>340</v>
      </c>
      <c r="D303" s="100">
        <v>43655.60502314815</v>
      </c>
    </row>
    <row r="304" spans="1:4" ht="15">
      <c r="A304" s="63" t="s">
        <v>328</v>
      </c>
      <c r="B304" s="63" t="s">
        <v>430</v>
      </c>
      <c r="C304" s="67" t="s">
        <v>340</v>
      </c>
      <c r="D304" s="100">
        <v>43655.60502314815</v>
      </c>
    </row>
    <row r="305" spans="1:4" ht="15">
      <c r="A305" s="63" t="s">
        <v>328</v>
      </c>
      <c r="B305" s="63" t="s">
        <v>311</v>
      </c>
      <c r="C305" s="67" t="s">
        <v>340</v>
      </c>
      <c r="D305" s="100">
        <v>43655.60502314815</v>
      </c>
    </row>
    <row r="306" spans="1:4" ht="15">
      <c r="A306" s="63" t="s">
        <v>328</v>
      </c>
      <c r="B306" s="63" t="s">
        <v>477</v>
      </c>
      <c r="C306" s="67" t="s">
        <v>340</v>
      </c>
      <c r="D306" s="100">
        <v>43655.60502314815</v>
      </c>
    </row>
    <row r="307" spans="1:4" ht="15">
      <c r="A307" s="63" t="s">
        <v>328</v>
      </c>
      <c r="B307" s="63" t="s">
        <v>428</v>
      </c>
      <c r="C307" s="67" t="s">
        <v>340</v>
      </c>
      <c r="D307" s="100">
        <v>43655.60502314815</v>
      </c>
    </row>
    <row r="308" spans="1:4" ht="15">
      <c r="A308" s="63" t="s">
        <v>328</v>
      </c>
      <c r="B308" s="63" t="s">
        <v>478</v>
      </c>
      <c r="C308" s="67" t="s">
        <v>340</v>
      </c>
      <c r="D308" s="100">
        <v>43655.60502314815</v>
      </c>
    </row>
    <row r="309" spans="1:4" ht="15">
      <c r="A309" s="63" t="s">
        <v>328</v>
      </c>
      <c r="B309" s="63" t="s">
        <v>479</v>
      </c>
      <c r="C309" s="67" t="s">
        <v>340</v>
      </c>
      <c r="D309" s="100">
        <v>43655.60502314815</v>
      </c>
    </row>
    <row r="310" spans="1:4" ht="15">
      <c r="A310" s="63" t="s">
        <v>328</v>
      </c>
      <c r="B310" s="63" t="s">
        <v>480</v>
      </c>
      <c r="C310" s="67" t="s">
        <v>340</v>
      </c>
      <c r="D310" s="100">
        <v>43655.60502314815</v>
      </c>
    </row>
    <row r="311" spans="1:4" ht="15">
      <c r="A311" s="63" t="s">
        <v>328</v>
      </c>
      <c r="B311" s="63" t="s">
        <v>481</v>
      </c>
      <c r="C311" s="67" t="s">
        <v>340</v>
      </c>
      <c r="D311" s="100">
        <v>43655.60502314815</v>
      </c>
    </row>
    <row r="312" spans="1:4" ht="15">
      <c r="A312" s="63" t="s">
        <v>328</v>
      </c>
      <c r="B312" s="63" t="s">
        <v>470</v>
      </c>
      <c r="C312" s="67" t="s">
        <v>340</v>
      </c>
      <c r="D312" s="100">
        <v>43655.60502314815</v>
      </c>
    </row>
    <row r="313" spans="1:4" ht="15">
      <c r="A313" s="63" t="s">
        <v>328</v>
      </c>
      <c r="B313" s="63" t="s">
        <v>482</v>
      </c>
      <c r="C313" s="67" t="s">
        <v>340</v>
      </c>
      <c r="D313" s="100">
        <v>43655.60502314815</v>
      </c>
    </row>
    <row r="314" spans="1:4" ht="15">
      <c r="A314" s="63" t="s">
        <v>328</v>
      </c>
      <c r="B314" s="63" t="s">
        <v>483</v>
      </c>
      <c r="C314" s="67" t="s">
        <v>340</v>
      </c>
      <c r="D314" s="100">
        <v>43655.60502314815</v>
      </c>
    </row>
    <row r="315" spans="1:4" ht="15">
      <c r="A315" s="63" t="s">
        <v>328</v>
      </c>
      <c r="B315" s="63" t="s">
        <v>484</v>
      </c>
      <c r="C315" s="67" t="s">
        <v>340</v>
      </c>
      <c r="D315" s="100">
        <v>43655.60502314815</v>
      </c>
    </row>
    <row r="316" spans="1:4" ht="15">
      <c r="A316" s="63" t="s">
        <v>328</v>
      </c>
      <c r="B316" s="63" t="s">
        <v>485</v>
      </c>
      <c r="C316" s="67" t="s">
        <v>340</v>
      </c>
      <c r="D316" s="100">
        <v>43655.60502314815</v>
      </c>
    </row>
    <row r="317" spans="1:4" ht="15">
      <c r="A317" s="63" t="s">
        <v>328</v>
      </c>
      <c r="B317" s="63" t="s">
        <v>452</v>
      </c>
      <c r="C317" s="67" t="s">
        <v>340</v>
      </c>
      <c r="D317" s="100">
        <v>43655.60502314815</v>
      </c>
    </row>
    <row r="318" spans="1:4" ht="15">
      <c r="A318" s="63" t="s">
        <v>328</v>
      </c>
      <c r="B318" s="63" t="s">
        <v>323</v>
      </c>
      <c r="C318" s="67" t="s">
        <v>340</v>
      </c>
      <c r="D318" s="100">
        <v>43655.60502314815</v>
      </c>
    </row>
    <row r="319" spans="1:4" ht="15">
      <c r="A319" s="63" t="s">
        <v>328</v>
      </c>
      <c r="B319" s="63" t="s">
        <v>486</v>
      </c>
      <c r="C319" s="67" t="s">
        <v>340</v>
      </c>
      <c r="D319" s="100">
        <v>43655.60502314815</v>
      </c>
    </row>
    <row r="320" spans="1:4" ht="15">
      <c r="A320" s="63" t="s">
        <v>328</v>
      </c>
      <c r="B320" s="63" t="s">
        <v>487</v>
      </c>
      <c r="C320" s="67" t="s">
        <v>340</v>
      </c>
      <c r="D320" s="100">
        <v>43655.60502314815</v>
      </c>
    </row>
    <row r="321" spans="1:4" ht="15">
      <c r="A321" s="63" t="s">
        <v>328</v>
      </c>
      <c r="B321" s="63" t="s">
        <v>488</v>
      </c>
      <c r="C321" s="67" t="s">
        <v>340</v>
      </c>
      <c r="D321" s="100">
        <v>43655.60502314815</v>
      </c>
    </row>
    <row r="322" spans="1:4" ht="15">
      <c r="A322" s="63" t="s">
        <v>328</v>
      </c>
      <c r="B322" s="63" t="s">
        <v>489</v>
      </c>
      <c r="C322" s="67" t="s">
        <v>340</v>
      </c>
      <c r="D322" s="100">
        <v>43655.60502314815</v>
      </c>
    </row>
    <row r="323" spans="1:4" ht="15">
      <c r="A323" s="63" t="s">
        <v>328</v>
      </c>
      <c r="B323" s="63" t="s">
        <v>490</v>
      </c>
      <c r="C323" s="67" t="s">
        <v>340</v>
      </c>
      <c r="D323" s="100">
        <v>43655.60502314815</v>
      </c>
    </row>
    <row r="324" spans="1:4" ht="15">
      <c r="A324" s="63" t="s">
        <v>328</v>
      </c>
      <c r="B324" s="63" t="s">
        <v>396</v>
      </c>
      <c r="C324" s="67" t="s">
        <v>340</v>
      </c>
      <c r="D324" s="100">
        <v>43655.60502314815</v>
      </c>
    </row>
    <row r="325" spans="1:4" ht="15">
      <c r="A325" s="63" t="s">
        <v>328</v>
      </c>
      <c r="B325" s="63" t="s">
        <v>491</v>
      </c>
      <c r="C325" s="67" t="s">
        <v>340</v>
      </c>
      <c r="D325" s="100">
        <v>43655.60502314815</v>
      </c>
    </row>
    <row r="326" spans="1:4" ht="15">
      <c r="A326" s="63" t="s">
        <v>328</v>
      </c>
      <c r="B326" s="63" t="s">
        <v>492</v>
      </c>
      <c r="C326" s="67" t="s">
        <v>340</v>
      </c>
      <c r="D326" s="100">
        <v>43655.60502314815</v>
      </c>
    </row>
    <row r="327" spans="1:4" ht="15">
      <c r="A327" s="63" t="s">
        <v>328</v>
      </c>
      <c r="B327" s="63" t="s">
        <v>493</v>
      </c>
      <c r="C327" s="67" t="s">
        <v>340</v>
      </c>
      <c r="D327" s="100">
        <v>43655.60502314815</v>
      </c>
    </row>
    <row r="328" spans="1:4" ht="15">
      <c r="A328" s="63" t="s">
        <v>328</v>
      </c>
      <c r="B328" s="63" t="s">
        <v>362</v>
      </c>
      <c r="C328" s="67" t="s">
        <v>340</v>
      </c>
      <c r="D328" s="100">
        <v>43655.60502314815</v>
      </c>
    </row>
    <row r="329" spans="1:4" ht="15">
      <c r="A329" s="63" t="s">
        <v>328</v>
      </c>
      <c r="B329" s="63" t="s">
        <v>363</v>
      </c>
      <c r="C329" s="67" t="s">
        <v>340</v>
      </c>
      <c r="D329" s="100">
        <v>43655.60502314815</v>
      </c>
    </row>
    <row r="330" spans="1:4" ht="15">
      <c r="A330" s="63" t="s">
        <v>328</v>
      </c>
      <c r="B330" s="63" t="s">
        <v>364</v>
      </c>
      <c r="C330" s="67" t="s">
        <v>340</v>
      </c>
      <c r="D330" s="100">
        <v>43655.60502314815</v>
      </c>
    </row>
    <row r="331" spans="1:4" ht="15">
      <c r="A331" s="63" t="s">
        <v>328</v>
      </c>
      <c r="B331" s="63" t="s">
        <v>338</v>
      </c>
      <c r="C331" s="67" t="s">
        <v>340</v>
      </c>
      <c r="D331" s="100">
        <v>43655.60502314815</v>
      </c>
    </row>
    <row r="332" spans="1:4" ht="15">
      <c r="A332" s="63" t="s">
        <v>331</v>
      </c>
      <c r="B332" s="63" t="s">
        <v>432</v>
      </c>
      <c r="C332" s="67" t="s">
        <v>344</v>
      </c>
      <c r="D332" s="100">
        <v>43654.72467592593</v>
      </c>
    </row>
    <row r="333" spans="1:4" ht="15">
      <c r="A333" s="63" t="s">
        <v>331</v>
      </c>
      <c r="B333" s="63" t="s">
        <v>321</v>
      </c>
      <c r="C333" s="67" t="s">
        <v>344</v>
      </c>
      <c r="D333" s="100">
        <v>43654.72467592593</v>
      </c>
    </row>
    <row r="334" spans="1:4" ht="15">
      <c r="A334" s="63" t="s">
        <v>331</v>
      </c>
      <c r="B334" s="63" t="s">
        <v>402</v>
      </c>
      <c r="C334" s="67" t="s">
        <v>344</v>
      </c>
      <c r="D334" s="100">
        <v>43654.72467592593</v>
      </c>
    </row>
    <row r="335" spans="1:4" ht="15">
      <c r="A335" s="63" t="s">
        <v>331</v>
      </c>
      <c r="B335" s="63" t="s">
        <v>438</v>
      </c>
      <c r="C335" s="67" t="s">
        <v>344</v>
      </c>
      <c r="D335" s="100">
        <v>43654.72467592593</v>
      </c>
    </row>
    <row r="336" spans="1:4" ht="15">
      <c r="A336" s="63" t="s">
        <v>331</v>
      </c>
      <c r="B336" s="63" t="s">
        <v>406</v>
      </c>
      <c r="C336" s="67" t="s">
        <v>344</v>
      </c>
      <c r="D336" s="100">
        <v>43654.72467592593</v>
      </c>
    </row>
    <row r="337" spans="1:4" ht="15">
      <c r="A337" s="63" t="s">
        <v>331</v>
      </c>
      <c r="B337" s="63" t="s">
        <v>450</v>
      </c>
      <c r="C337" s="67" t="s">
        <v>344</v>
      </c>
      <c r="D337" s="100">
        <v>43654.72467592593</v>
      </c>
    </row>
    <row r="338" spans="1:4" ht="15">
      <c r="A338" s="63" t="s">
        <v>331</v>
      </c>
      <c r="B338" s="63" t="s">
        <v>451</v>
      </c>
      <c r="C338" s="67" t="s">
        <v>344</v>
      </c>
      <c r="D338" s="100">
        <v>43654.72467592593</v>
      </c>
    </row>
    <row r="339" spans="1:4" ht="15">
      <c r="A339" s="63" t="s">
        <v>331</v>
      </c>
      <c r="B339" s="63" t="s">
        <v>452</v>
      </c>
      <c r="C339" s="67" t="s">
        <v>344</v>
      </c>
      <c r="D339" s="100">
        <v>43654.72467592593</v>
      </c>
    </row>
    <row r="340" spans="1:4" ht="15">
      <c r="A340" s="63" t="s">
        <v>331</v>
      </c>
      <c r="B340" s="63" t="s">
        <v>404</v>
      </c>
      <c r="C340" s="67" t="s">
        <v>344</v>
      </c>
      <c r="D340" s="100">
        <v>43654.72467592593</v>
      </c>
    </row>
    <row r="341" spans="1:4" ht="15">
      <c r="A341" s="63" t="s">
        <v>331</v>
      </c>
      <c r="B341" s="63" t="s">
        <v>330</v>
      </c>
      <c r="C341" s="67" t="s">
        <v>344</v>
      </c>
      <c r="D341" s="100">
        <v>43654.72467592593</v>
      </c>
    </row>
    <row r="342" spans="1:4" ht="15">
      <c r="A342" s="63" t="s">
        <v>331</v>
      </c>
      <c r="B342" s="63" t="s">
        <v>365</v>
      </c>
      <c r="C342" s="67" t="s">
        <v>344</v>
      </c>
      <c r="D342" s="100">
        <v>43654.72467592593</v>
      </c>
    </row>
    <row r="343" spans="1:4" ht="15">
      <c r="A343" s="63" t="s">
        <v>331</v>
      </c>
      <c r="B343" s="63" t="s">
        <v>453</v>
      </c>
      <c r="C343" s="67" t="s">
        <v>344</v>
      </c>
      <c r="D343" s="100">
        <v>43654.72467592593</v>
      </c>
    </row>
    <row r="344" spans="1:4" ht="15">
      <c r="A344" s="63" t="s">
        <v>331</v>
      </c>
      <c r="B344" s="63" t="s">
        <v>454</v>
      </c>
      <c r="C344" s="67" t="s">
        <v>344</v>
      </c>
      <c r="D344" s="100">
        <v>43654.72467592593</v>
      </c>
    </row>
    <row r="345" spans="1:4" ht="15">
      <c r="A345" s="63" t="s">
        <v>331</v>
      </c>
      <c r="B345" s="63" t="s">
        <v>445</v>
      </c>
      <c r="C345" s="67" t="s">
        <v>344</v>
      </c>
      <c r="D345" s="100">
        <v>43654.72467592593</v>
      </c>
    </row>
    <row r="346" spans="1:4" ht="15">
      <c r="A346" s="63" t="s">
        <v>331</v>
      </c>
      <c r="B346" s="63" t="s">
        <v>373</v>
      </c>
      <c r="C346" s="67" t="s">
        <v>344</v>
      </c>
      <c r="D346" s="100">
        <v>43654.72467592593</v>
      </c>
    </row>
    <row r="347" spans="1:4" ht="15">
      <c r="A347" s="63" t="s">
        <v>331</v>
      </c>
      <c r="B347" s="63" t="s">
        <v>320</v>
      </c>
      <c r="C347" s="67" t="s">
        <v>344</v>
      </c>
      <c r="D347" s="100">
        <v>43654.72467592593</v>
      </c>
    </row>
    <row r="348" spans="1:4" ht="15">
      <c r="A348" s="63" t="s">
        <v>331</v>
      </c>
      <c r="B348" s="63" t="s">
        <v>399</v>
      </c>
      <c r="C348" s="67" t="s">
        <v>344</v>
      </c>
      <c r="D348" s="100">
        <v>43654.72467592593</v>
      </c>
    </row>
    <row r="349" spans="1:4" ht="15">
      <c r="A349" s="63" t="s">
        <v>331</v>
      </c>
      <c r="B349" s="63" t="s">
        <v>443</v>
      </c>
      <c r="C349" s="67" t="s">
        <v>344</v>
      </c>
      <c r="D349" s="100">
        <v>43654.72467592593</v>
      </c>
    </row>
    <row r="350" spans="1:4" ht="15">
      <c r="A350" s="63" t="s">
        <v>331</v>
      </c>
      <c r="B350" s="63">
        <v>5</v>
      </c>
      <c r="C350" s="67" t="s">
        <v>344</v>
      </c>
      <c r="D350" s="100">
        <v>43654.72467592593</v>
      </c>
    </row>
    <row r="351" spans="1:4" ht="15">
      <c r="A351" s="63" t="s">
        <v>331</v>
      </c>
      <c r="B351" s="63" t="s">
        <v>374</v>
      </c>
      <c r="C351" s="67" t="s">
        <v>344</v>
      </c>
      <c r="D351" s="100">
        <v>43654.72467592593</v>
      </c>
    </row>
    <row r="352" spans="1:4" ht="15">
      <c r="A352" s="63" t="s">
        <v>331</v>
      </c>
      <c r="B352" s="63" t="s">
        <v>312</v>
      </c>
      <c r="C352" s="67" t="s">
        <v>344</v>
      </c>
      <c r="D352" s="100">
        <v>43654.72467592593</v>
      </c>
    </row>
    <row r="353" spans="1:4" ht="15">
      <c r="A353" s="63" t="s">
        <v>331</v>
      </c>
      <c r="B353" s="63" t="s">
        <v>455</v>
      </c>
      <c r="C353" s="67" t="s">
        <v>344</v>
      </c>
      <c r="D353" s="100">
        <v>43654.72467592593</v>
      </c>
    </row>
    <row r="354" spans="1:4" ht="15">
      <c r="A354" s="63" t="s">
        <v>331</v>
      </c>
      <c r="B354" s="63" t="s">
        <v>430</v>
      </c>
      <c r="C354" s="67" t="s">
        <v>344</v>
      </c>
      <c r="D354" s="100">
        <v>43654.72467592593</v>
      </c>
    </row>
    <row r="355" spans="1:4" ht="15">
      <c r="A355" s="63" t="s">
        <v>331</v>
      </c>
      <c r="B355" s="63" t="s">
        <v>325</v>
      </c>
      <c r="C355" s="67" t="s">
        <v>344</v>
      </c>
      <c r="D355" s="100">
        <v>43654.72467592593</v>
      </c>
    </row>
    <row r="356" spans="1:4" ht="15">
      <c r="A356" s="63" t="s">
        <v>331</v>
      </c>
      <c r="B356" s="63" t="s">
        <v>375</v>
      </c>
      <c r="C356" s="67" t="s">
        <v>344</v>
      </c>
      <c r="D356" s="100">
        <v>43654.72467592593</v>
      </c>
    </row>
    <row r="357" spans="1:4" ht="15">
      <c r="A357" s="63" t="s">
        <v>331</v>
      </c>
      <c r="B357" s="63" t="s">
        <v>376</v>
      </c>
      <c r="C357" s="67" t="s">
        <v>344</v>
      </c>
      <c r="D357" s="100">
        <v>43654.72467592593</v>
      </c>
    </row>
    <row r="358" spans="1:4" ht="15">
      <c r="A358" s="63" t="s">
        <v>331</v>
      </c>
      <c r="B358" s="63" t="s">
        <v>425</v>
      </c>
      <c r="C358" s="67" t="s">
        <v>344</v>
      </c>
      <c r="D358" s="100">
        <v>43654.72467592593</v>
      </c>
    </row>
    <row r="359" spans="1:4" ht="15">
      <c r="A359" s="63" t="s">
        <v>331</v>
      </c>
      <c r="B359" s="63" t="s">
        <v>324</v>
      </c>
      <c r="C359" s="67" t="s">
        <v>344</v>
      </c>
      <c r="D359" s="100">
        <v>43654.72467592593</v>
      </c>
    </row>
    <row r="360" spans="1:4" ht="15">
      <c r="A360" s="63" t="s">
        <v>331</v>
      </c>
      <c r="B360" s="63" t="s">
        <v>372</v>
      </c>
      <c r="C360" s="67" t="s">
        <v>344</v>
      </c>
      <c r="D360" s="100">
        <v>43654.72467592593</v>
      </c>
    </row>
    <row r="361" spans="1:4" ht="15">
      <c r="A361" s="63" t="s">
        <v>331</v>
      </c>
      <c r="B361" s="63" t="s">
        <v>428</v>
      </c>
      <c r="C361" s="67" t="s">
        <v>344</v>
      </c>
      <c r="D361" s="100">
        <v>43654.72467592593</v>
      </c>
    </row>
    <row r="362" spans="1:4" ht="15">
      <c r="A362" s="63" t="s">
        <v>331</v>
      </c>
      <c r="B362" s="63" t="s">
        <v>456</v>
      </c>
      <c r="C362" s="67" t="s">
        <v>344</v>
      </c>
      <c r="D362" s="100">
        <v>43654.72467592593</v>
      </c>
    </row>
    <row r="363" spans="1:4" ht="15">
      <c r="A363" s="63" t="s">
        <v>331</v>
      </c>
      <c r="B363" s="63" t="s">
        <v>423</v>
      </c>
      <c r="C363" s="67" t="s">
        <v>344</v>
      </c>
      <c r="D363" s="100">
        <v>43654.72467592593</v>
      </c>
    </row>
    <row r="364" spans="1:4" ht="15">
      <c r="A364" s="63" t="s">
        <v>331</v>
      </c>
      <c r="B364" s="63" t="s">
        <v>377</v>
      </c>
      <c r="C364" s="67" t="s">
        <v>344</v>
      </c>
      <c r="D364" s="100">
        <v>43654.72467592593</v>
      </c>
    </row>
    <row r="365" spans="1:4" ht="15">
      <c r="A365" s="63" t="s">
        <v>331</v>
      </c>
      <c r="B365" s="63" t="s">
        <v>378</v>
      </c>
      <c r="C365" s="67" t="s">
        <v>344</v>
      </c>
      <c r="D365" s="100">
        <v>43654.72467592593</v>
      </c>
    </row>
    <row r="366" spans="1:4" ht="15">
      <c r="A366" s="63" t="s">
        <v>331</v>
      </c>
      <c r="B366" s="63" t="s">
        <v>317</v>
      </c>
      <c r="C366" s="67" t="s">
        <v>344</v>
      </c>
      <c r="D366" s="100">
        <v>43654.72467592593</v>
      </c>
    </row>
    <row r="367" spans="1:4" ht="15">
      <c r="A367" s="63" t="s">
        <v>331</v>
      </c>
      <c r="B367" s="63" t="s">
        <v>457</v>
      </c>
      <c r="C367" s="67" t="s">
        <v>344</v>
      </c>
      <c r="D367" s="100">
        <v>43654.72467592593</v>
      </c>
    </row>
    <row r="368" spans="1:4" ht="15">
      <c r="A368" s="63" t="s">
        <v>331</v>
      </c>
      <c r="B368" s="63" t="s">
        <v>458</v>
      </c>
      <c r="C368" s="67" t="s">
        <v>344</v>
      </c>
      <c r="D368" s="100">
        <v>43654.72467592593</v>
      </c>
    </row>
    <row r="369" spans="1:4" ht="15">
      <c r="A369" s="63" t="s">
        <v>331</v>
      </c>
      <c r="B369" s="63" t="s">
        <v>459</v>
      </c>
      <c r="C369" s="67" t="s">
        <v>344</v>
      </c>
      <c r="D369" s="100">
        <v>43654.72467592593</v>
      </c>
    </row>
    <row r="370" spans="1:4" ht="15">
      <c r="A370" s="63" t="s">
        <v>327</v>
      </c>
      <c r="B370" s="63" t="s">
        <v>432</v>
      </c>
      <c r="C370" s="67" t="s">
        <v>339</v>
      </c>
      <c r="D370" s="100">
        <v>43654.8299537037</v>
      </c>
    </row>
    <row r="371" spans="1:4" ht="15">
      <c r="A371" s="63" t="s">
        <v>327</v>
      </c>
      <c r="B371" s="63" t="s">
        <v>321</v>
      </c>
      <c r="C371" s="67" t="s">
        <v>339</v>
      </c>
      <c r="D371" s="100">
        <v>43654.8299537037</v>
      </c>
    </row>
    <row r="372" spans="1:4" ht="15">
      <c r="A372" s="63" t="s">
        <v>327</v>
      </c>
      <c r="B372" s="63" t="s">
        <v>402</v>
      </c>
      <c r="C372" s="67" t="s">
        <v>339</v>
      </c>
      <c r="D372" s="100">
        <v>43654.8299537037</v>
      </c>
    </row>
    <row r="373" spans="1:4" ht="15">
      <c r="A373" s="63" t="s">
        <v>327</v>
      </c>
      <c r="B373" s="63" t="s">
        <v>438</v>
      </c>
      <c r="C373" s="67" t="s">
        <v>339</v>
      </c>
      <c r="D373" s="100">
        <v>43654.8299537037</v>
      </c>
    </row>
    <row r="374" spans="1:4" ht="15">
      <c r="A374" s="63" t="s">
        <v>327</v>
      </c>
      <c r="B374" s="63" t="s">
        <v>406</v>
      </c>
      <c r="C374" s="67" t="s">
        <v>339</v>
      </c>
      <c r="D374" s="100">
        <v>43654.8299537037</v>
      </c>
    </row>
    <row r="375" spans="1:4" ht="15">
      <c r="A375" s="63" t="s">
        <v>327</v>
      </c>
      <c r="B375" s="63" t="s">
        <v>450</v>
      </c>
      <c r="C375" s="67" t="s">
        <v>339</v>
      </c>
      <c r="D375" s="100">
        <v>43654.8299537037</v>
      </c>
    </row>
    <row r="376" spans="1:4" ht="15">
      <c r="A376" s="63" t="s">
        <v>327</v>
      </c>
      <c r="B376" s="63" t="s">
        <v>451</v>
      </c>
      <c r="C376" s="67" t="s">
        <v>339</v>
      </c>
      <c r="D376" s="100">
        <v>43654.8299537037</v>
      </c>
    </row>
    <row r="377" spans="1:4" ht="15">
      <c r="A377" s="63" t="s">
        <v>327</v>
      </c>
      <c r="B377" s="63" t="s">
        <v>452</v>
      </c>
      <c r="C377" s="67" t="s">
        <v>339</v>
      </c>
      <c r="D377" s="100">
        <v>43654.8299537037</v>
      </c>
    </row>
    <row r="378" spans="1:4" ht="15">
      <c r="A378" s="63" t="s">
        <v>327</v>
      </c>
      <c r="B378" s="63" t="s">
        <v>404</v>
      </c>
      <c r="C378" s="67" t="s">
        <v>339</v>
      </c>
      <c r="D378" s="100">
        <v>43654.8299537037</v>
      </c>
    </row>
    <row r="379" spans="1:4" ht="15">
      <c r="A379" s="63" t="s">
        <v>327</v>
      </c>
      <c r="B379" s="63" t="s">
        <v>330</v>
      </c>
      <c r="C379" s="67" t="s">
        <v>339</v>
      </c>
      <c r="D379" s="100">
        <v>43654.8299537037</v>
      </c>
    </row>
    <row r="380" spans="1:4" ht="15">
      <c r="A380" s="63" t="s">
        <v>327</v>
      </c>
      <c r="B380" s="63" t="s">
        <v>365</v>
      </c>
      <c r="C380" s="67" t="s">
        <v>339</v>
      </c>
      <c r="D380" s="100">
        <v>43654.8299537037</v>
      </c>
    </row>
    <row r="381" spans="1:4" ht="15">
      <c r="A381" s="63" t="s">
        <v>327</v>
      </c>
      <c r="B381" s="63" t="s">
        <v>453</v>
      </c>
      <c r="C381" s="67" t="s">
        <v>339</v>
      </c>
      <c r="D381" s="100">
        <v>43654.8299537037</v>
      </c>
    </row>
    <row r="382" spans="1:4" ht="15">
      <c r="A382" s="63" t="s">
        <v>327</v>
      </c>
      <c r="B382" s="63" t="s">
        <v>454</v>
      </c>
      <c r="C382" s="67" t="s">
        <v>339</v>
      </c>
      <c r="D382" s="100">
        <v>43654.8299537037</v>
      </c>
    </row>
    <row r="383" spans="1:4" ht="15">
      <c r="A383" s="63" t="s">
        <v>327</v>
      </c>
      <c r="B383" s="63" t="s">
        <v>445</v>
      </c>
      <c r="C383" s="67" t="s">
        <v>339</v>
      </c>
      <c r="D383" s="100">
        <v>43654.8299537037</v>
      </c>
    </row>
    <row r="384" spans="1:4" ht="15">
      <c r="A384" s="63" t="s">
        <v>327</v>
      </c>
      <c r="B384" s="63" t="s">
        <v>373</v>
      </c>
      <c r="C384" s="67" t="s">
        <v>339</v>
      </c>
      <c r="D384" s="100">
        <v>43654.8299537037</v>
      </c>
    </row>
    <row r="385" spans="1:4" ht="15">
      <c r="A385" s="63" t="s">
        <v>327</v>
      </c>
      <c r="B385" s="63" t="s">
        <v>320</v>
      </c>
      <c r="C385" s="67" t="s">
        <v>339</v>
      </c>
      <c r="D385" s="100">
        <v>43654.8299537037</v>
      </c>
    </row>
    <row r="386" spans="1:4" ht="15">
      <c r="A386" s="63" t="s">
        <v>327</v>
      </c>
      <c r="B386" s="63" t="s">
        <v>399</v>
      </c>
      <c r="C386" s="67" t="s">
        <v>339</v>
      </c>
      <c r="D386" s="100">
        <v>43654.8299537037</v>
      </c>
    </row>
    <row r="387" spans="1:4" ht="15">
      <c r="A387" s="63" t="s">
        <v>327</v>
      </c>
      <c r="B387" s="63" t="s">
        <v>443</v>
      </c>
      <c r="C387" s="67" t="s">
        <v>339</v>
      </c>
      <c r="D387" s="100">
        <v>43654.8299537037</v>
      </c>
    </row>
    <row r="388" spans="1:4" ht="15">
      <c r="A388" s="63" t="s">
        <v>327</v>
      </c>
      <c r="B388" s="63">
        <v>5</v>
      </c>
      <c r="C388" s="67" t="s">
        <v>339</v>
      </c>
      <c r="D388" s="100">
        <v>43654.8299537037</v>
      </c>
    </row>
    <row r="389" spans="1:4" ht="15">
      <c r="A389" s="63" t="s">
        <v>327</v>
      </c>
      <c r="B389" s="63" t="s">
        <v>374</v>
      </c>
      <c r="C389" s="67" t="s">
        <v>339</v>
      </c>
      <c r="D389" s="100">
        <v>43654.8299537037</v>
      </c>
    </row>
    <row r="390" spans="1:4" ht="15">
      <c r="A390" s="63" t="s">
        <v>327</v>
      </c>
      <c r="B390" s="63" t="s">
        <v>312</v>
      </c>
      <c r="C390" s="67" t="s">
        <v>339</v>
      </c>
      <c r="D390" s="100">
        <v>43654.8299537037</v>
      </c>
    </row>
    <row r="391" spans="1:4" ht="15">
      <c r="A391" s="63" t="s">
        <v>327</v>
      </c>
      <c r="B391" s="63" t="s">
        <v>455</v>
      </c>
      <c r="C391" s="67" t="s">
        <v>339</v>
      </c>
      <c r="D391" s="100">
        <v>43654.8299537037</v>
      </c>
    </row>
    <row r="392" spans="1:4" ht="15">
      <c r="A392" s="63" t="s">
        <v>327</v>
      </c>
      <c r="B392" s="63" t="s">
        <v>430</v>
      </c>
      <c r="C392" s="67" t="s">
        <v>339</v>
      </c>
      <c r="D392" s="100">
        <v>43654.8299537037</v>
      </c>
    </row>
    <row r="393" spans="1:4" ht="15">
      <c r="A393" s="63" t="s">
        <v>327</v>
      </c>
      <c r="B393" s="63" t="s">
        <v>325</v>
      </c>
      <c r="C393" s="67" t="s">
        <v>339</v>
      </c>
      <c r="D393" s="100">
        <v>43654.8299537037</v>
      </c>
    </row>
    <row r="394" spans="1:4" ht="15">
      <c r="A394" s="63" t="s">
        <v>327</v>
      </c>
      <c r="B394" s="63" t="s">
        <v>375</v>
      </c>
      <c r="C394" s="67" t="s">
        <v>339</v>
      </c>
      <c r="D394" s="100">
        <v>43654.8299537037</v>
      </c>
    </row>
    <row r="395" spans="1:4" ht="15">
      <c r="A395" s="63" t="s">
        <v>327</v>
      </c>
      <c r="B395" s="63" t="s">
        <v>376</v>
      </c>
      <c r="C395" s="67" t="s">
        <v>339</v>
      </c>
      <c r="D395" s="100">
        <v>43654.8299537037</v>
      </c>
    </row>
    <row r="396" spans="1:4" ht="15">
      <c r="A396" s="63" t="s">
        <v>327</v>
      </c>
      <c r="B396" s="63" t="s">
        <v>425</v>
      </c>
      <c r="C396" s="67" t="s">
        <v>339</v>
      </c>
      <c r="D396" s="100">
        <v>43654.8299537037</v>
      </c>
    </row>
    <row r="397" spans="1:4" ht="15">
      <c r="A397" s="63" t="s">
        <v>327</v>
      </c>
      <c r="B397" s="63" t="s">
        <v>324</v>
      </c>
      <c r="C397" s="67" t="s">
        <v>339</v>
      </c>
      <c r="D397" s="100">
        <v>43654.8299537037</v>
      </c>
    </row>
    <row r="398" spans="1:4" ht="15">
      <c r="A398" s="63" t="s">
        <v>327</v>
      </c>
      <c r="B398" s="63" t="s">
        <v>372</v>
      </c>
      <c r="C398" s="67" t="s">
        <v>339</v>
      </c>
      <c r="D398" s="100">
        <v>43654.8299537037</v>
      </c>
    </row>
    <row r="399" spans="1:4" ht="15">
      <c r="A399" s="63" t="s">
        <v>327</v>
      </c>
      <c r="B399" s="63" t="s">
        <v>428</v>
      </c>
      <c r="C399" s="67" t="s">
        <v>339</v>
      </c>
      <c r="D399" s="100">
        <v>43654.8299537037</v>
      </c>
    </row>
    <row r="400" spans="1:4" ht="15">
      <c r="A400" s="63" t="s">
        <v>327</v>
      </c>
      <c r="B400" s="63" t="s">
        <v>456</v>
      </c>
      <c r="C400" s="67" t="s">
        <v>339</v>
      </c>
      <c r="D400" s="100">
        <v>43654.8299537037</v>
      </c>
    </row>
    <row r="401" spans="1:4" ht="15">
      <c r="A401" s="63" t="s">
        <v>327</v>
      </c>
      <c r="B401" s="63" t="s">
        <v>423</v>
      </c>
      <c r="C401" s="67" t="s">
        <v>339</v>
      </c>
      <c r="D401" s="100">
        <v>43654.8299537037</v>
      </c>
    </row>
    <row r="402" spans="1:4" ht="15">
      <c r="A402" s="63" t="s">
        <v>327</v>
      </c>
      <c r="B402" s="63" t="s">
        <v>377</v>
      </c>
      <c r="C402" s="67" t="s">
        <v>339</v>
      </c>
      <c r="D402" s="100">
        <v>43654.8299537037</v>
      </c>
    </row>
    <row r="403" spans="1:4" ht="15">
      <c r="A403" s="63" t="s">
        <v>327</v>
      </c>
      <c r="B403" s="63" t="s">
        <v>378</v>
      </c>
      <c r="C403" s="67" t="s">
        <v>339</v>
      </c>
      <c r="D403" s="100">
        <v>43654.8299537037</v>
      </c>
    </row>
    <row r="404" spans="1:4" ht="15">
      <c r="A404" s="63" t="s">
        <v>327</v>
      </c>
      <c r="B404" s="63" t="s">
        <v>317</v>
      </c>
      <c r="C404" s="67" t="s">
        <v>339</v>
      </c>
      <c r="D404" s="100">
        <v>43654.8299537037</v>
      </c>
    </row>
    <row r="405" spans="1:4" ht="15">
      <c r="A405" s="63" t="s">
        <v>327</v>
      </c>
      <c r="B405" s="63" t="s">
        <v>457</v>
      </c>
      <c r="C405" s="67" t="s">
        <v>339</v>
      </c>
      <c r="D405" s="100">
        <v>43654.8299537037</v>
      </c>
    </row>
    <row r="406" spans="1:4" ht="15">
      <c r="A406" s="63" t="s">
        <v>327</v>
      </c>
      <c r="B406" s="63" t="s">
        <v>458</v>
      </c>
      <c r="C406" s="67" t="s">
        <v>339</v>
      </c>
      <c r="D406" s="100">
        <v>43654.8299537037</v>
      </c>
    </row>
    <row r="407" spans="1:4" ht="15">
      <c r="A407" s="63" t="s">
        <v>327</v>
      </c>
      <c r="B407" s="63" t="s">
        <v>459</v>
      </c>
      <c r="C407" s="67" t="s">
        <v>339</v>
      </c>
      <c r="D407" s="100">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249</v>
      </c>
      <c r="B1" s="13" t="s">
        <v>636</v>
      </c>
    </row>
    <row r="2" spans="1:2" ht="15">
      <c r="A2" s="63" t="s">
        <v>494</v>
      </c>
      <c r="B2" s="63" t="s">
        <v>637</v>
      </c>
    </row>
    <row r="3" spans="1:2" ht="15">
      <c r="A3" s="63" t="s">
        <v>495</v>
      </c>
      <c r="B3" s="63" t="s">
        <v>637</v>
      </c>
    </row>
    <row r="4" spans="1:2" ht="15">
      <c r="A4" s="63" t="s">
        <v>448</v>
      </c>
      <c r="B4" s="63" t="s">
        <v>637</v>
      </c>
    </row>
    <row r="5" spans="1:2" ht="15">
      <c r="A5" s="63" t="s">
        <v>496</v>
      </c>
      <c r="B5" s="63" t="s">
        <v>637</v>
      </c>
    </row>
    <row r="6" spans="1:2" ht="15">
      <c r="A6" s="63" t="s">
        <v>497</v>
      </c>
      <c r="B6" s="63" t="s">
        <v>637</v>
      </c>
    </row>
    <row r="7" spans="1:2" ht="15">
      <c r="A7" s="63" t="s">
        <v>498</v>
      </c>
      <c r="B7" s="63" t="s">
        <v>637</v>
      </c>
    </row>
    <row r="8" spans="1:2" ht="15">
      <c r="A8" s="63" t="s">
        <v>499</v>
      </c>
      <c r="B8" s="63" t="s">
        <v>637</v>
      </c>
    </row>
    <row r="9" spans="1:2" ht="15">
      <c r="A9" s="63" t="s">
        <v>500</v>
      </c>
      <c r="B9" s="63" t="s">
        <v>637</v>
      </c>
    </row>
    <row r="10" spans="1:2" ht="15">
      <c r="A10" s="63" t="s">
        <v>501</v>
      </c>
      <c r="B10" s="63" t="s">
        <v>637</v>
      </c>
    </row>
    <row r="11" spans="1:2" ht="15">
      <c r="A11" s="63" t="s">
        <v>502</v>
      </c>
      <c r="B11" s="63" t="s">
        <v>637</v>
      </c>
    </row>
    <row r="12" spans="1:2" ht="15">
      <c r="A12" s="63" t="s">
        <v>503</v>
      </c>
      <c r="B12" s="63" t="s">
        <v>637</v>
      </c>
    </row>
    <row r="13" spans="1:2" ht="15">
      <c r="A13" s="63" t="s">
        <v>438</v>
      </c>
      <c r="B13" s="63" t="s">
        <v>637</v>
      </c>
    </row>
    <row r="14" spans="1:2" ht="15">
      <c r="A14" s="63" t="s">
        <v>483</v>
      </c>
      <c r="B14" s="63" t="s">
        <v>637</v>
      </c>
    </row>
    <row r="15" spans="1:2" ht="15">
      <c r="A15" s="63" t="s">
        <v>428</v>
      </c>
      <c r="B15" s="63" t="s">
        <v>637</v>
      </c>
    </row>
    <row r="16" spans="1:2" ht="15">
      <c r="A16" s="63" t="s">
        <v>504</v>
      </c>
      <c r="B16" s="63" t="s">
        <v>637</v>
      </c>
    </row>
    <row r="17" spans="1:2" ht="15">
      <c r="A17" s="63" t="s">
        <v>422</v>
      </c>
      <c r="B17" s="63" t="s">
        <v>637</v>
      </c>
    </row>
    <row r="18" spans="1:2" ht="15">
      <c r="A18" s="63" t="s">
        <v>505</v>
      </c>
      <c r="B18" s="63" t="s">
        <v>637</v>
      </c>
    </row>
    <row r="19" spans="1:2" ht="15">
      <c r="A19" s="63" t="s">
        <v>426</v>
      </c>
      <c r="B19" s="63" t="s">
        <v>637</v>
      </c>
    </row>
    <row r="20" spans="1:2" ht="15">
      <c r="A20" s="63" t="s">
        <v>443</v>
      </c>
      <c r="B20" s="63" t="s">
        <v>637</v>
      </c>
    </row>
    <row r="21" spans="1:2" ht="15">
      <c r="A21" s="63" t="s">
        <v>431</v>
      </c>
      <c r="B21" s="63" t="s">
        <v>637</v>
      </c>
    </row>
    <row r="22" spans="1:2" ht="15">
      <c r="A22" s="63" t="s">
        <v>506</v>
      </c>
      <c r="B22" s="63" t="s">
        <v>637</v>
      </c>
    </row>
    <row r="23" spans="1:2" ht="15">
      <c r="A23" s="63" t="s">
        <v>507</v>
      </c>
      <c r="B23" s="63" t="s">
        <v>637</v>
      </c>
    </row>
    <row r="24" spans="1:2" ht="15">
      <c r="A24" s="63" t="s">
        <v>508</v>
      </c>
      <c r="B24" s="63" t="s">
        <v>637</v>
      </c>
    </row>
    <row r="25" spans="1:2" ht="15">
      <c r="A25" s="63" t="s">
        <v>434</v>
      </c>
      <c r="B25" s="63" t="s">
        <v>637</v>
      </c>
    </row>
    <row r="26" spans="1:2" ht="15">
      <c r="A26" s="63" t="s">
        <v>509</v>
      </c>
      <c r="B26" s="63" t="s">
        <v>637</v>
      </c>
    </row>
    <row r="27" spans="1:2" ht="15">
      <c r="A27" s="63" t="s">
        <v>510</v>
      </c>
      <c r="B27" s="63" t="s">
        <v>637</v>
      </c>
    </row>
    <row r="28" spans="1:2" ht="15">
      <c r="A28" s="63" t="s">
        <v>511</v>
      </c>
      <c r="B28" s="63" t="s">
        <v>637</v>
      </c>
    </row>
    <row r="29" spans="1:2" ht="15">
      <c r="A29" s="63" t="s">
        <v>512</v>
      </c>
      <c r="B29" s="63" t="s">
        <v>637</v>
      </c>
    </row>
    <row r="30" spans="1:2" ht="15">
      <c r="A30" s="63" t="s">
        <v>513</v>
      </c>
      <c r="B30" s="63" t="s">
        <v>637</v>
      </c>
    </row>
    <row r="31" spans="1:2" ht="15">
      <c r="A31" s="63" t="s">
        <v>514</v>
      </c>
      <c r="B31" s="63" t="s">
        <v>637</v>
      </c>
    </row>
    <row r="32" spans="1:2" ht="15">
      <c r="A32" s="63" t="s">
        <v>515</v>
      </c>
      <c r="B32" s="63" t="s">
        <v>637</v>
      </c>
    </row>
    <row r="33" spans="1:2" ht="15">
      <c r="A33" s="63" t="s">
        <v>516</v>
      </c>
      <c r="B33" s="63" t="s">
        <v>637</v>
      </c>
    </row>
    <row r="34" spans="1:2" ht="15">
      <c r="A34" s="63" t="s">
        <v>517</v>
      </c>
      <c r="B34" s="63" t="s">
        <v>637</v>
      </c>
    </row>
    <row r="35" spans="1:2" ht="15">
      <c r="A35" s="63" t="s">
        <v>518</v>
      </c>
      <c r="B35" s="63" t="s">
        <v>637</v>
      </c>
    </row>
    <row r="36" spans="1:2" ht="15">
      <c r="A36" s="63" t="s">
        <v>519</v>
      </c>
      <c r="B36" s="63" t="s">
        <v>637</v>
      </c>
    </row>
    <row r="37" spans="1:2" ht="15">
      <c r="A37" s="63" t="s">
        <v>520</v>
      </c>
      <c r="B37" s="63" t="s">
        <v>637</v>
      </c>
    </row>
    <row r="38" spans="1:2" ht="15">
      <c r="A38" s="63" t="s">
        <v>521</v>
      </c>
      <c r="B38" s="63" t="s">
        <v>637</v>
      </c>
    </row>
    <row r="39" spans="1:2" ht="15">
      <c r="A39" s="63" t="s">
        <v>522</v>
      </c>
      <c r="B39" s="63" t="s">
        <v>637</v>
      </c>
    </row>
    <row r="40" spans="1:2" ht="15">
      <c r="A40" s="63" t="s">
        <v>523</v>
      </c>
      <c r="B40" s="63" t="s">
        <v>637</v>
      </c>
    </row>
    <row r="41" spans="1:2" ht="15">
      <c r="A41" s="63" t="s">
        <v>524</v>
      </c>
      <c r="B41" s="63" t="s">
        <v>637</v>
      </c>
    </row>
    <row r="42" spans="1:2" ht="15">
      <c r="A42" s="63" t="s">
        <v>424</v>
      </c>
      <c r="B42" s="63" t="s">
        <v>637</v>
      </c>
    </row>
    <row r="43" spans="1:2" ht="15">
      <c r="A43" s="63" t="s">
        <v>525</v>
      </c>
      <c r="B43" s="63" t="s">
        <v>637</v>
      </c>
    </row>
    <row r="44" spans="1:2" ht="15">
      <c r="A44" s="63" t="s">
        <v>456</v>
      </c>
      <c r="B44" s="63" t="s">
        <v>637</v>
      </c>
    </row>
    <row r="45" spans="1:2" ht="15">
      <c r="A45" s="63" t="s">
        <v>526</v>
      </c>
      <c r="B45" s="63" t="s">
        <v>637</v>
      </c>
    </row>
    <row r="46" spans="1:2" ht="15">
      <c r="A46" s="63" t="s">
        <v>527</v>
      </c>
      <c r="B46" s="63" t="s">
        <v>637</v>
      </c>
    </row>
    <row r="47" spans="1:2" ht="15">
      <c r="A47" s="63" t="s">
        <v>528</v>
      </c>
      <c r="B47" s="63" t="s">
        <v>637</v>
      </c>
    </row>
    <row r="48" spans="1:2" ht="15">
      <c r="A48" s="63" t="s">
        <v>529</v>
      </c>
      <c r="B48" s="63" t="s">
        <v>637</v>
      </c>
    </row>
    <row r="49" spans="1:2" ht="15">
      <c r="A49" s="63" t="s">
        <v>530</v>
      </c>
      <c r="B49" s="63" t="s">
        <v>637</v>
      </c>
    </row>
    <row r="50" spans="1:2" ht="15">
      <c r="A50" s="63" t="s">
        <v>531</v>
      </c>
      <c r="B50" s="63" t="s">
        <v>637</v>
      </c>
    </row>
    <row r="51" spans="1:2" ht="15">
      <c r="A51" s="63" t="s">
        <v>532</v>
      </c>
      <c r="B51" s="63" t="s">
        <v>637</v>
      </c>
    </row>
    <row r="52" spans="1:2" ht="15">
      <c r="A52" s="63" t="s">
        <v>533</v>
      </c>
      <c r="B52" s="63" t="s">
        <v>637</v>
      </c>
    </row>
    <row r="53" spans="1:2" ht="15">
      <c r="A53" s="63" t="s">
        <v>534</v>
      </c>
      <c r="B53" s="63" t="s">
        <v>637</v>
      </c>
    </row>
    <row r="54" spans="1:2" ht="15">
      <c r="A54" s="63" t="s">
        <v>535</v>
      </c>
      <c r="B54" s="63" t="s">
        <v>637</v>
      </c>
    </row>
    <row r="55" spans="1:2" ht="15">
      <c r="A55" s="63" t="s">
        <v>536</v>
      </c>
      <c r="B55" s="63" t="s">
        <v>637</v>
      </c>
    </row>
    <row r="56" spans="1:2" ht="15">
      <c r="A56" s="63" t="s">
        <v>537</v>
      </c>
      <c r="B56" s="63" t="s">
        <v>637</v>
      </c>
    </row>
    <row r="57" spans="1:2" ht="15">
      <c r="A57" s="63" t="s">
        <v>538</v>
      </c>
      <c r="B57" s="63" t="s">
        <v>637</v>
      </c>
    </row>
    <row r="58" spans="1:2" ht="15">
      <c r="A58" s="63" t="s">
        <v>476</v>
      </c>
      <c r="B58" s="63" t="s">
        <v>637</v>
      </c>
    </row>
    <row r="59" spans="1:2" ht="15">
      <c r="A59" s="63" t="s">
        <v>539</v>
      </c>
      <c r="B59" s="63" t="s">
        <v>637</v>
      </c>
    </row>
    <row r="60" spans="1:2" ht="15">
      <c r="A60" s="63" t="s">
        <v>540</v>
      </c>
      <c r="B60" s="63" t="s">
        <v>637</v>
      </c>
    </row>
    <row r="61" spans="1:2" ht="15">
      <c r="A61" s="63" t="s">
        <v>541</v>
      </c>
      <c r="B61" s="63" t="s">
        <v>637</v>
      </c>
    </row>
    <row r="62" spans="1:2" ht="15">
      <c r="A62" s="63" t="s">
        <v>542</v>
      </c>
      <c r="B62" s="63" t="s">
        <v>637</v>
      </c>
    </row>
    <row r="63" spans="1:2" ht="15">
      <c r="A63" s="63" t="s">
        <v>543</v>
      </c>
      <c r="B63" s="63" t="s">
        <v>637</v>
      </c>
    </row>
    <row r="64" spans="1:2" ht="15">
      <c r="A64" s="63" t="s">
        <v>544</v>
      </c>
      <c r="B64" s="63" t="s">
        <v>637</v>
      </c>
    </row>
    <row r="65" spans="1:2" ht="15">
      <c r="A65" s="63" t="s">
        <v>545</v>
      </c>
      <c r="B65" s="63" t="s">
        <v>637</v>
      </c>
    </row>
    <row r="66" spans="1:2" ht="15">
      <c r="A66" s="63" t="s">
        <v>546</v>
      </c>
      <c r="B66" s="63" t="s">
        <v>637</v>
      </c>
    </row>
    <row r="67" spans="1:2" ht="15">
      <c r="A67" s="63" t="s">
        <v>547</v>
      </c>
      <c r="B67" s="63" t="s">
        <v>637</v>
      </c>
    </row>
    <row r="68" spans="1:2" ht="15">
      <c r="A68" s="63" t="s">
        <v>548</v>
      </c>
      <c r="B68" s="63" t="s">
        <v>637</v>
      </c>
    </row>
    <row r="69" spans="1:2" ht="15">
      <c r="A69" s="63" t="s">
        <v>396</v>
      </c>
      <c r="B69" s="63" t="s">
        <v>637</v>
      </c>
    </row>
    <row r="70" spans="1:2" ht="15">
      <c r="A70" s="63" t="s">
        <v>549</v>
      </c>
      <c r="B70" s="63" t="s">
        <v>637</v>
      </c>
    </row>
    <row r="71" spans="1:2" ht="15">
      <c r="A71" s="63" t="s">
        <v>490</v>
      </c>
      <c r="B71" s="63" t="s">
        <v>637</v>
      </c>
    </row>
    <row r="72" spans="1:2" ht="15">
      <c r="A72" s="63" t="s">
        <v>550</v>
      </c>
      <c r="B72" s="63" t="s">
        <v>637</v>
      </c>
    </row>
    <row r="73" spans="1:2" ht="15">
      <c r="A73" s="63" t="s">
        <v>307</v>
      </c>
      <c r="B73" s="63" t="s">
        <v>637</v>
      </c>
    </row>
    <row r="74" spans="1:2" ht="15">
      <c r="A74" s="63" t="s">
        <v>433</v>
      </c>
      <c r="B74" s="63" t="s">
        <v>637</v>
      </c>
    </row>
    <row r="75" spans="1:2" ht="15">
      <c r="A75" s="63" t="s">
        <v>551</v>
      </c>
      <c r="B75" s="63" t="s">
        <v>637</v>
      </c>
    </row>
    <row r="76" spans="1:2" ht="15">
      <c r="A76" s="63" t="s">
        <v>552</v>
      </c>
      <c r="B76" s="63" t="s">
        <v>637</v>
      </c>
    </row>
    <row r="77" spans="1:2" ht="15">
      <c r="A77" s="63" t="s">
        <v>553</v>
      </c>
      <c r="B77" s="63" t="s">
        <v>637</v>
      </c>
    </row>
    <row r="78" spans="1:2" ht="15">
      <c r="A78" s="63" t="s">
        <v>554</v>
      </c>
      <c r="B78" s="63" t="s">
        <v>637</v>
      </c>
    </row>
    <row r="79" spans="1:2" ht="15">
      <c r="A79" s="63" t="s">
        <v>555</v>
      </c>
      <c r="B79" s="63" t="s">
        <v>637</v>
      </c>
    </row>
    <row r="80" spans="1:2" ht="15">
      <c r="A80" s="63" t="s">
        <v>556</v>
      </c>
      <c r="B80" s="63" t="s">
        <v>637</v>
      </c>
    </row>
    <row r="81" spans="1:2" ht="15">
      <c r="A81" s="63" t="s">
        <v>557</v>
      </c>
      <c r="B81" s="63" t="s">
        <v>637</v>
      </c>
    </row>
    <row r="82" spans="1:2" ht="15">
      <c r="A82" s="63" t="s">
        <v>558</v>
      </c>
      <c r="B82" s="63" t="s">
        <v>637</v>
      </c>
    </row>
    <row r="83" spans="1:2" ht="15">
      <c r="A83" s="63" t="s">
        <v>559</v>
      </c>
      <c r="B83" s="63" t="s">
        <v>637</v>
      </c>
    </row>
    <row r="84" spans="1:2" ht="15">
      <c r="A84" s="63" t="s">
        <v>560</v>
      </c>
      <c r="B84" s="63" t="s">
        <v>637</v>
      </c>
    </row>
    <row r="85" spans="1:2" ht="15">
      <c r="A85" s="63" t="s">
        <v>561</v>
      </c>
      <c r="B85" s="63" t="s">
        <v>637</v>
      </c>
    </row>
    <row r="86" spans="1:2" ht="15">
      <c r="A86" s="63" t="s">
        <v>475</v>
      </c>
      <c r="B86" s="63" t="s">
        <v>637</v>
      </c>
    </row>
    <row r="87" spans="1:2" ht="15">
      <c r="A87" s="63" t="s">
        <v>562</v>
      </c>
      <c r="B87" s="63" t="s">
        <v>637</v>
      </c>
    </row>
    <row r="88" spans="1:2" ht="15">
      <c r="A88" s="63" t="s">
        <v>563</v>
      </c>
      <c r="B88" s="63" t="s">
        <v>637</v>
      </c>
    </row>
    <row r="89" spans="1:2" ht="15">
      <c r="A89" s="63" t="s">
        <v>564</v>
      </c>
      <c r="B89" s="63" t="s">
        <v>637</v>
      </c>
    </row>
    <row r="90" spans="1:2" ht="15">
      <c r="A90" s="63" t="s">
        <v>565</v>
      </c>
      <c r="B90" s="63" t="s">
        <v>637</v>
      </c>
    </row>
    <row r="91" spans="1:2" ht="15">
      <c r="A91" s="63" t="s">
        <v>566</v>
      </c>
      <c r="B91" s="63" t="s">
        <v>637</v>
      </c>
    </row>
    <row r="92" spans="1:2" ht="15">
      <c r="A92" s="63" t="s">
        <v>567</v>
      </c>
      <c r="B92" s="63" t="s">
        <v>637</v>
      </c>
    </row>
    <row r="93" spans="1:2" ht="15">
      <c r="A93" s="63" t="s">
        <v>568</v>
      </c>
      <c r="B93" s="63" t="s">
        <v>637</v>
      </c>
    </row>
    <row r="94" spans="1:2" ht="15">
      <c r="A94" s="63" t="s">
        <v>452</v>
      </c>
      <c r="B94" s="63" t="s">
        <v>637</v>
      </c>
    </row>
    <row r="95" spans="1:2" ht="15">
      <c r="A95" s="63" t="s">
        <v>569</v>
      </c>
      <c r="B95" s="63" t="s">
        <v>637</v>
      </c>
    </row>
    <row r="96" spans="1:2" ht="15">
      <c r="A96" s="63" t="s">
        <v>570</v>
      </c>
      <c r="B96" s="63" t="s">
        <v>637</v>
      </c>
    </row>
    <row r="97" spans="1:2" ht="15">
      <c r="A97" s="63" t="s">
        <v>471</v>
      </c>
      <c r="B97" s="63" t="s">
        <v>637</v>
      </c>
    </row>
    <row r="98" spans="1:2" ht="15">
      <c r="A98" s="63" t="s">
        <v>571</v>
      </c>
      <c r="B98" s="63" t="s">
        <v>637</v>
      </c>
    </row>
    <row r="99" spans="1:2" ht="15">
      <c r="A99" s="63" t="s">
        <v>572</v>
      </c>
      <c r="B99" s="63" t="s">
        <v>637</v>
      </c>
    </row>
    <row r="100" spans="1:2" ht="15">
      <c r="A100" s="63" t="s">
        <v>573</v>
      </c>
      <c r="B100" s="63" t="s">
        <v>637</v>
      </c>
    </row>
    <row r="101" spans="1:2" ht="15">
      <c r="A101" s="63" t="s">
        <v>457</v>
      </c>
      <c r="B101" s="63" t="s">
        <v>637</v>
      </c>
    </row>
    <row r="102" spans="1:2" ht="15">
      <c r="A102" s="63" t="s">
        <v>574</v>
      </c>
      <c r="B102" s="63" t="s">
        <v>637</v>
      </c>
    </row>
    <row r="103" spans="1:2" ht="15">
      <c r="A103" s="63" t="s">
        <v>575</v>
      </c>
      <c r="B103" s="63" t="s">
        <v>637</v>
      </c>
    </row>
    <row r="104" spans="1:2" ht="15">
      <c r="A104" s="63" t="s">
        <v>576</v>
      </c>
      <c r="B104" s="63" t="s">
        <v>637</v>
      </c>
    </row>
    <row r="105" spans="1:2" ht="15">
      <c r="A105" s="63" t="s">
        <v>577</v>
      </c>
      <c r="B105" s="63" t="s">
        <v>637</v>
      </c>
    </row>
    <row r="106" spans="1:2" ht="15">
      <c r="A106" s="63" t="s">
        <v>578</v>
      </c>
      <c r="B106" s="63" t="s">
        <v>637</v>
      </c>
    </row>
    <row r="107" spans="1:2" ht="15">
      <c r="A107" s="63" t="s">
        <v>579</v>
      </c>
      <c r="B107" s="63" t="s">
        <v>637</v>
      </c>
    </row>
    <row r="108" spans="1:2" ht="15">
      <c r="A108" s="63" t="s">
        <v>580</v>
      </c>
      <c r="B108" s="63" t="s">
        <v>637</v>
      </c>
    </row>
    <row r="109" spans="1:2" ht="15">
      <c r="A109" s="63" t="s">
        <v>581</v>
      </c>
      <c r="B109" s="63" t="s">
        <v>637</v>
      </c>
    </row>
    <row r="110" spans="1:2" ht="15">
      <c r="A110" s="63" t="s">
        <v>582</v>
      </c>
      <c r="B110" s="63" t="s">
        <v>637</v>
      </c>
    </row>
    <row r="111" spans="1:2" ht="15">
      <c r="A111" s="63" t="s">
        <v>583</v>
      </c>
      <c r="B111" s="63" t="s">
        <v>637</v>
      </c>
    </row>
    <row r="112" spans="1:2" ht="15">
      <c r="A112" s="63" t="s">
        <v>584</v>
      </c>
      <c r="B112" s="63" t="s">
        <v>637</v>
      </c>
    </row>
    <row r="113" spans="1:2" ht="15">
      <c r="A113" s="63" t="s">
        <v>585</v>
      </c>
      <c r="B113" s="63" t="s">
        <v>637</v>
      </c>
    </row>
    <row r="114" spans="1:2" ht="15">
      <c r="A114" s="63" t="s">
        <v>586</v>
      </c>
      <c r="B114" s="63" t="s">
        <v>637</v>
      </c>
    </row>
    <row r="115" spans="1:2" ht="15">
      <c r="A115" s="63" t="s">
        <v>587</v>
      </c>
      <c r="B115" s="63" t="s">
        <v>637</v>
      </c>
    </row>
    <row r="116" spans="1:2" ht="15">
      <c r="A116" s="63" t="s">
        <v>588</v>
      </c>
      <c r="B116" s="63" t="s">
        <v>637</v>
      </c>
    </row>
    <row r="117" spans="1:2" ht="15">
      <c r="A117" s="63" t="s">
        <v>589</v>
      </c>
      <c r="B117" s="63" t="s">
        <v>637</v>
      </c>
    </row>
    <row r="118" spans="1:2" ht="15">
      <c r="A118" s="63" t="s">
        <v>590</v>
      </c>
      <c r="B118" s="63" t="s">
        <v>637</v>
      </c>
    </row>
    <row r="119" spans="1:2" ht="15">
      <c r="A119" s="63" t="s">
        <v>591</v>
      </c>
      <c r="B119" s="63" t="s">
        <v>637</v>
      </c>
    </row>
    <row r="120" spans="1:2" ht="15">
      <c r="A120" s="63" t="s">
        <v>592</v>
      </c>
      <c r="B120" s="63" t="s">
        <v>637</v>
      </c>
    </row>
    <row r="121" spans="1:2" ht="15">
      <c r="A121" s="63" t="s">
        <v>593</v>
      </c>
      <c r="B121" s="63" t="s">
        <v>637</v>
      </c>
    </row>
    <row r="122" spans="1:2" ht="15">
      <c r="A122" s="63" t="s">
        <v>425</v>
      </c>
      <c r="B122" s="63" t="s">
        <v>637</v>
      </c>
    </row>
    <row r="123" spans="1:2" ht="15">
      <c r="A123" s="63" t="s">
        <v>478</v>
      </c>
      <c r="B123" s="63" t="s">
        <v>637</v>
      </c>
    </row>
    <row r="124" spans="1:2" ht="15">
      <c r="A124" s="63" t="s">
        <v>477</v>
      </c>
      <c r="B124" s="63" t="s">
        <v>637</v>
      </c>
    </row>
    <row r="125" spans="1:2" ht="15">
      <c r="A125" s="63" t="s">
        <v>594</v>
      </c>
      <c r="B125" s="63" t="s">
        <v>637</v>
      </c>
    </row>
    <row r="126" spans="1:2" ht="15">
      <c r="A126" s="63" t="s">
        <v>595</v>
      </c>
      <c r="B126" s="63" t="s">
        <v>637</v>
      </c>
    </row>
    <row r="127" spans="1:2" ht="15">
      <c r="A127" s="63" t="s">
        <v>596</v>
      </c>
      <c r="B127" s="63" t="s">
        <v>637</v>
      </c>
    </row>
    <row r="128" spans="1:2" ht="15">
      <c r="A128" s="63" t="s">
        <v>597</v>
      </c>
      <c r="B128" s="63" t="s">
        <v>637</v>
      </c>
    </row>
    <row r="129" spans="1:2" ht="15">
      <c r="A129" s="63" t="s">
        <v>481</v>
      </c>
      <c r="B129" s="63" t="s">
        <v>637</v>
      </c>
    </row>
    <row r="130" spans="1:2" ht="15">
      <c r="A130" s="63" t="s">
        <v>598</v>
      </c>
      <c r="B130" s="63" t="s">
        <v>637</v>
      </c>
    </row>
    <row r="131" spans="1:2" ht="15">
      <c r="A131" s="63" t="s">
        <v>599</v>
      </c>
      <c r="B131" s="63" t="s">
        <v>637</v>
      </c>
    </row>
    <row r="132" spans="1:2" ht="15">
      <c r="A132" s="63" t="s">
        <v>600</v>
      </c>
      <c r="B132" s="63" t="s">
        <v>637</v>
      </c>
    </row>
    <row r="133" spans="1:2" ht="15">
      <c r="A133" s="63" t="s">
        <v>601</v>
      </c>
      <c r="B133" s="63" t="s">
        <v>637</v>
      </c>
    </row>
    <row r="134" spans="1:2" ht="15">
      <c r="A134" s="63" t="s">
        <v>453</v>
      </c>
      <c r="B134" s="63" t="s">
        <v>637</v>
      </c>
    </row>
    <row r="135" spans="1:2" ht="15">
      <c r="A135" s="63" t="s">
        <v>430</v>
      </c>
      <c r="B135" s="63" t="s">
        <v>637</v>
      </c>
    </row>
    <row r="136" spans="1:2" ht="15">
      <c r="A136" s="63" t="s">
        <v>602</v>
      </c>
      <c r="B136" s="63" t="s">
        <v>637</v>
      </c>
    </row>
    <row r="137" spans="1:2" ht="15">
      <c r="A137" s="63" t="s">
        <v>455</v>
      </c>
      <c r="B137" s="63" t="s">
        <v>637</v>
      </c>
    </row>
    <row r="138" spans="1:2" ht="15">
      <c r="A138" s="63" t="s">
        <v>603</v>
      </c>
      <c r="B138" s="63" t="s">
        <v>637</v>
      </c>
    </row>
    <row r="139" spans="1:2" ht="15">
      <c r="A139" s="63" t="s">
        <v>604</v>
      </c>
      <c r="B139" s="63" t="s">
        <v>637</v>
      </c>
    </row>
    <row r="140" spans="1:2" ht="15">
      <c r="A140" s="63" t="s">
        <v>605</v>
      </c>
      <c r="B140" s="63" t="s">
        <v>637</v>
      </c>
    </row>
    <row r="141" spans="1:2" ht="15">
      <c r="A141" s="63" t="s">
        <v>465</v>
      </c>
      <c r="B141" s="63" t="s">
        <v>637</v>
      </c>
    </row>
    <row r="142" spans="1:2" ht="15">
      <c r="A142" s="63" t="s">
        <v>606</v>
      </c>
      <c r="B142" s="63" t="s">
        <v>637</v>
      </c>
    </row>
    <row r="143" spans="1:2" ht="15">
      <c r="A143" s="63" t="s">
        <v>607</v>
      </c>
      <c r="B143" s="63" t="s">
        <v>637</v>
      </c>
    </row>
    <row r="144" spans="1:2" ht="15">
      <c r="A144" s="63" t="s">
        <v>608</v>
      </c>
      <c r="B144" s="63" t="s">
        <v>637</v>
      </c>
    </row>
    <row r="145" spans="1:2" ht="15">
      <c r="A145" s="63" t="s">
        <v>609</v>
      </c>
      <c r="B145" s="63" t="s">
        <v>637</v>
      </c>
    </row>
    <row r="146" spans="1:2" ht="15">
      <c r="A146" s="63" t="s">
        <v>610</v>
      </c>
      <c r="B146" s="63" t="s">
        <v>637</v>
      </c>
    </row>
    <row r="147" spans="1:2" ht="15">
      <c r="A147" s="63" t="s">
        <v>611</v>
      </c>
      <c r="B147" s="63" t="s">
        <v>637</v>
      </c>
    </row>
    <row r="148" spans="1:2" ht="15">
      <c r="A148" s="63" t="s">
        <v>612</v>
      </c>
      <c r="B148" s="63" t="s">
        <v>637</v>
      </c>
    </row>
    <row r="149" spans="1:2" ht="15">
      <c r="A149" s="63" t="s">
        <v>613</v>
      </c>
      <c r="B149" s="63" t="s">
        <v>637</v>
      </c>
    </row>
    <row r="150" spans="1:2" ht="15">
      <c r="A150" s="63" t="s">
        <v>614</v>
      </c>
      <c r="B150" s="63" t="s">
        <v>637</v>
      </c>
    </row>
    <row r="151" spans="1:2" ht="15">
      <c r="A151" s="63" t="s">
        <v>615</v>
      </c>
      <c r="B151" s="63" t="s">
        <v>637</v>
      </c>
    </row>
    <row r="152" spans="1:2" ht="15">
      <c r="A152" s="63" t="s">
        <v>616</v>
      </c>
      <c r="B152" s="63" t="s">
        <v>637</v>
      </c>
    </row>
    <row r="153" spans="1:2" ht="15">
      <c r="A153" s="63" t="s">
        <v>617</v>
      </c>
      <c r="B153" s="63" t="s">
        <v>637</v>
      </c>
    </row>
    <row r="154" spans="1:2" ht="15">
      <c r="A154" s="63" t="s">
        <v>618</v>
      </c>
      <c r="B154" s="63" t="s">
        <v>637</v>
      </c>
    </row>
    <row r="155" spans="1:2" ht="15">
      <c r="A155" s="63" t="s">
        <v>619</v>
      </c>
      <c r="B155" s="63" t="s">
        <v>637</v>
      </c>
    </row>
    <row r="156" spans="1:2" ht="15">
      <c r="A156" s="63" t="s">
        <v>469</v>
      </c>
      <c r="B156" s="63" t="s">
        <v>637</v>
      </c>
    </row>
    <row r="157" spans="1:2" ht="15">
      <c r="A157" s="63" t="s">
        <v>620</v>
      </c>
      <c r="B157" s="63" t="s">
        <v>637</v>
      </c>
    </row>
    <row r="158" spans="1:2" ht="15">
      <c r="A158" s="63" t="s">
        <v>621</v>
      </c>
      <c r="B158" s="63" t="s">
        <v>637</v>
      </c>
    </row>
    <row r="159" spans="1:2" ht="15">
      <c r="A159" s="63" t="s">
        <v>622</v>
      </c>
      <c r="B159" s="63" t="s">
        <v>637</v>
      </c>
    </row>
    <row r="160" spans="1:2" ht="15">
      <c r="A160" s="63" t="s">
        <v>623</v>
      </c>
      <c r="B160" s="63" t="s">
        <v>637</v>
      </c>
    </row>
    <row r="161" spans="1:2" ht="15">
      <c r="A161" s="63" t="s">
        <v>624</v>
      </c>
      <c r="B161" s="63" t="s">
        <v>637</v>
      </c>
    </row>
    <row r="162" spans="1:2" ht="15">
      <c r="A162" s="63" t="s">
        <v>625</v>
      </c>
      <c r="B162" s="63" t="s">
        <v>637</v>
      </c>
    </row>
    <row r="163" spans="1:2" ht="15">
      <c r="A163" s="63" t="s">
        <v>470</v>
      </c>
      <c r="B163" s="63" t="s">
        <v>637</v>
      </c>
    </row>
    <row r="164" spans="1:2" ht="15">
      <c r="A164" s="63" t="s">
        <v>398</v>
      </c>
      <c r="B164" s="63" t="s">
        <v>637</v>
      </c>
    </row>
    <row r="165" spans="1:2" ht="15">
      <c r="A165" s="63" t="s">
        <v>626</v>
      </c>
      <c r="B165" s="63" t="s">
        <v>637</v>
      </c>
    </row>
    <row r="166" spans="1:2" ht="15">
      <c r="A166" s="63" t="s">
        <v>627</v>
      </c>
      <c r="B166" s="63" t="s">
        <v>637</v>
      </c>
    </row>
    <row r="167" spans="1:2" ht="15">
      <c r="A167" s="63" t="s">
        <v>628</v>
      </c>
      <c r="B167" s="63" t="s">
        <v>637</v>
      </c>
    </row>
    <row r="168" spans="1:2" ht="15">
      <c r="A168" s="63" t="s">
        <v>629</v>
      </c>
      <c r="B168" s="63" t="s">
        <v>637</v>
      </c>
    </row>
    <row r="169" spans="1:2" ht="15">
      <c r="A169" s="63" t="s">
        <v>630</v>
      </c>
      <c r="B169" s="63" t="s">
        <v>637</v>
      </c>
    </row>
    <row r="170" spans="1:2" ht="15">
      <c r="A170" s="63" t="s">
        <v>464</v>
      </c>
      <c r="B170" s="63" t="s">
        <v>637</v>
      </c>
    </row>
    <row r="171" spans="1:2" ht="15">
      <c r="A171" s="63" t="s">
        <v>631</v>
      </c>
      <c r="B171" s="63" t="s">
        <v>637</v>
      </c>
    </row>
    <row r="172" spans="1:2" ht="15">
      <c r="A172" s="63" t="s">
        <v>632</v>
      </c>
      <c r="B172" s="63" t="s">
        <v>637</v>
      </c>
    </row>
    <row r="173" spans="1:2" ht="15">
      <c r="A173" s="63" t="s">
        <v>633</v>
      </c>
      <c r="B173" s="63" t="s">
        <v>637</v>
      </c>
    </row>
    <row r="174" spans="1:2" ht="15">
      <c r="A174" s="63" t="s">
        <v>634</v>
      </c>
      <c r="B174" s="63" t="s">
        <v>637</v>
      </c>
    </row>
    <row r="175" spans="1:2" ht="15">
      <c r="A175" s="63" t="s">
        <v>423</v>
      </c>
      <c r="B175" s="63" t="s">
        <v>637</v>
      </c>
    </row>
    <row r="176" spans="1:2" ht="15">
      <c r="A176" s="63" t="s">
        <v>635</v>
      </c>
      <c r="B176" s="63" t="s">
        <v>637</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638</v>
      </c>
      <c r="B1" s="13" t="s">
        <v>17</v>
      </c>
    </row>
    <row r="2" spans="1:2" ht="15">
      <c r="A2" s="63" t="s">
        <v>639</v>
      </c>
      <c r="B2" s="63" t="s">
        <v>645</v>
      </c>
    </row>
    <row r="3" spans="1:2" ht="15">
      <c r="A3" s="64" t="s">
        <v>640</v>
      </c>
      <c r="B3" s="63" t="s">
        <v>646</v>
      </c>
    </row>
    <row r="4" spans="1:2" ht="15">
      <c r="A4" s="64" t="s">
        <v>641</v>
      </c>
      <c r="B4" s="63" t="s">
        <v>647</v>
      </c>
    </row>
    <row r="5" spans="1:2" ht="15">
      <c r="A5" s="64" t="s">
        <v>642</v>
      </c>
      <c r="B5" s="63" t="s">
        <v>648</v>
      </c>
    </row>
    <row r="6" spans="1:2" ht="15">
      <c r="A6" s="64" t="s">
        <v>643</v>
      </c>
      <c r="B6" s="63" t="s">
        <v>649</v>
      </c>
    </row>
    <row r="7" spans="1:2" ht="15">
      <c r="A7" s="64" t="s">
        <v>644</v>
      </c>
      <c r="B7" s="63" t="s">
        <v>650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4944"/>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s>
  <sheetData>
    <row r="1" spans="1:34" ht="15">
      <c r="A1" s="101"/>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28" ht="30" customHeight="1">
      <c r="A2" s="11" t="s">
        <v>5</v>
      </c>
      <c r="B2" t="s">
        <v>256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168</v>
      </c>
      <c r="AB2" s="11" t="s">
        <v>12</v>
      </c>
      <c r="AC2" s="11" t="s">
        <v>38</v>
      </c>
      <c r="AD2" s="8" t="s">
        <v>26</v>
      </c>
      <c r="AE2" s="13" t="s">
        <v>193</v>
      </c>
      <c r="AF2" s="13" t="s">
        <v>194</v>
      </c>
      <c r="AG2" s="13" t="s">
        <v>195</v>
      </c>
      <c r="AH2" s="13" t="s">
        <v>196</v>
      </c>
      <c r="AI2" s="13" t="s">
        <v>197</v>
      </c>
      <c r="AJ2" s="13" t="s">
        <v>198</v>
      </c>
      <c r="AK2" s="13" t="s">
        <v>199</v>
      </c>
      <c r="AL2" s="13" t="s">
        <v>200</v>
      </c>
      <c r="AM2" s="13" t="s">
        <v>201</v>
      </c>
      <c r="AN2" s="13" t="s">
        <v>202</v>
      </c>
      <c r="AO2" s="13" t="s">
        <v>203</v>
      </c>
      <c r="AP2" s="13" t="s">
        <v>204</v>
      </c>
      <c r="AQ2" s="13" t="s">
        <v>205</v>
      </c>
      <c r="AR2" s="13" t="s">
        <v>206</v>
      </c>
      <c r="AS2" s="13" t="s">
        <v>207</v>
      </c>
      <c r="AT2" s="13" t="s">
        <v>208</v>
      </c>
      <c r="AU2" s="13" t="s">
        <v>209</v>
      </c>
      <c r="AV2" s="13" t="s">
        <v>210</v>
      </c>
      <c r="AW2" s="13" t="s">
        <v>211</v>
      </c>
      <c r="AX2" s="13" t="s">
        <v>212</v>
      </c>
      <c r="AY2" s="13" t="s">
        <v>213</v>
      </c>
      <c r="AZ2" s="13" t="s">
        <v>214</v>
      </c>
      <c r="BA2" s="82" t="s">
        <v>239</v>
      </c>
      <c r="BB2" s="82" t="s">
        <v>240</v>
      </c>
      <c r="BC2" s="82" t="s">
        <v>241</v>
      </c>
      <c r="BD2" s="82" t="s">
        <v>242</v>
      </c>
      <c r="BE2" s="82" t="s">
        <v>243</v>
      </c>
      <c r="BF2" s="82" t="s">
        <v>244</v>
      </c>
      <c r="BG2" s="82" t="s">
        <v>245</v>
      </c>
      <c r="BH2" s="82" t="s">
        <v>246</v>
      </c>
      <c r="BI2" s="82" t="s">
        <v>247</v>
      </c>
      <c r="BJ2" s="82" t="s">
        <v>248</v>
      </c>
      <c r="BK2" s="82" t="s">
        <v>259</v>
      </c>
      <c r="BL2" s="82" t="s">
        <v>260</v>
      </c>
      <c r="BM2" s="82" t="s">
        <v>261</v>
      </c>
      <c r="BN2" s="82" t="s">
        <v>262</v>
      </c>
      <c r="BO2" s="82" t="s">
        <v>263</v>
      </c>
      <c r="BP2" s="82" t="s">
        <v>264</v>
      </c>
      <c r="BQ2" s="82" t="s">
        <v>265</v>
      </c>
      <c r="BR2" s="82" t="s">
        <v>266</v>
      </c>
      <c r="BS2" s="82" t="s">
        <v>268</v>
      </c>
      <c r="BT2" s="13" t="s">
        <v>295</v>
      </c>
      <c r="BU2" s="13" t="s">
        <v>652</v>
      </c>
      <c r="BV2" s="82" t="s">
        <v>671</v>
      </c>
      <c r="BW2" s="82" t="s">
        <v>672</v>
      </c>
      <c r="BX2" s="82" t="s">
        <v>673</v>
      </c>
      <c r="BY2" s="82" t="s">
        <v>674</v>
      </c>
      <c r="BZ2" s="82" t="s">
        <v>675</v>
      </c>
      <c r="CA2" s="82" t="s">
        <v>676</v>
      </c>
      <c r="CB2" s="13" t="s">
        <v>742</v>
      </c>
      <c r="CC2" s="13" t="s">
        <v>743</v>
      </c>
      <c r="CD2" s="13" t="s">
        <v>744</v>
      </c>
      <c r="CE2" s="13" t="s">
        <v>745</v>
      </c>
      <c r="CF2" s="13" t="s">
        <v>746</v>
      </c>
      <c r="CG2" s="13" t="s">
        <v>747</v>
      </c>
      <c r="CH2" s="13" t="s">
        <v>748</v>
      </c>
      <c r="CI2" s="13" t="s">
        <v>749</v>
      </c>
      <c r="CJ2" s="13" t="s">
        <v>750</v>
      </c>
      <c r="CK2" s="13" t="s">
        <v>751</v>
      </c>
      <c r="CL2" s="13" t="s">
        <v>752</v>
      </c>
      <c r="CM2" s="13" t="s">
        <v>753</v>
      </c>
      <c r="CN2" s="13" t="s">
        <v>644</v>
      </c>
      <c r="CO2" s="13" t="s">
        <v>784</v>
      </c>
      <c r="CP2" s="13" t="s">
        <v>785</v>
      </c>
      <c r="CQ2" s="13" t="s">
        <v>786</v>
      </c>
      <c r="CR2" s="13" t="s">
        <v>787</v>
      </c>
      <c r="CS2" s="13" t="s">
        <v>788</v>
      </c>
      <c r="CT2" s="13" t="s">
        <v>789</v>
      </c>
      <c r="CU2" s="13" t="s">
        <v>790</v>
      </c>
      <c r="CV2" s="13" t="s">
        <v>791</v>
      </c>
      <c r="CW2" s="13" t="s">
        <v>792</v>
      </c>
      <c r="CX2" s="13" t="s">
        <v>793</v>
      </c>
      <c r="CY2" s="13" t="s">
        <v>794</v>
      </c>
      <c r="CZ2" s="13" t="s">
        <v>795</v>
      </c>
      <c r="DA2" s="13" t="s">
        <v>796</v>
      </c>
      <c r="DB2" s="13" t="s">
        <v>797</v>
      </c>
      <c r="DC2" s="13" t="s">
        <v>798</v>
      </c>
      <c r="DD2" s="13" t="s">
        <v>799</v>
      </c>
      <c r="DE2" s="13" t="s">
        <v>800</v>
      </c>
      <c r="DF2" s="13" t="s">
        <v>801</v>
      </c>
      <c r="DG2" s="13" t="s">
        <v>802</v>
      </c>
      <c r="DH2" s="13" t="s">
        <v>803</v>
      </c>
      <c r="DI2" s="13" t="s">
        <v>1442</v>
      </c>
      <c r="DJ2" s="13" t="s">
        <v>1443</v>
      </c>
      <c r="DK2" s="13" t="s">
        <v>1444</v>
      </c>
      <c r="DL2" s="13" t="s">
        <v>1445</v>
      </c>
      <c r="DM2" s="13" t="s">
        <v>1446</v>
      </c>
      <c r="DN2" s="13" t="s">
        <v>1447</v>
      </c>
      <c r="DO2" s="13" t="s">
        <v>1448</v>
      </c>
      <c r="DP2" s="13" t="s">
        <v>1449</v>
      </c>
      <c r="DQ2" s="13" t="s">
        <v>1450</v>
      </c>
      <c r="DR2" s="13" t="s">
        <v>276</v>
      </c>
      <c r="DS2" s="13" t="s">
        <v>1451</v>
      </c>
      <c r="DT2" s="13" t="s">
        <v>1452</v>
      </c>
      <c r="DU2" s="13" t="s">
        <v>1453</v>
      </c>
      <c r="DV2" s="13" t="s">
        <v>736</v>
      </c>
      <c r="DW2" s="3"/>
      <c r="DX2" s="3"/>
    </row>
    <row r="3" spans="1:128" ht="41.45" customHeight="1">
      <c r="A3" s="62" t="s">
        <v>901</v>
      </c>
      <c r="B3" s="63"/>
      <c r="C3" s="78"/>
      <c r="D3" s="78" t="s">
        <v>64</v>
      </c>
      <c r="E3" s="84">
        <v>162.4779586769958</v>
      </c>
      <c r="F3" s="86">
        <v>99.99825259552551</v>
      </c>
      <c r="G3" s="69" t="str">
        <f>HYPERLINK("https://pbs.twimg.com/profile_images/1692553845958742016/oGf5OupE_normal.jpg")</f>
        <v>https://pbs.twimg.com/profile_images/1692553845958742016/oGf5OupE_normal.jpg</v>
      </c>
      <c r="H3" s="78"/>
      <c r="I3" s="70" t="s">
        <v>901</v>
      </c>
      <c r="J3" s="87"/>
      <c r="K3" s="87"/>
      <c r="L3" s="70" t="s">
        <v>1754</v>
      </c>
      <c r="M3" s="90">
        <v>1.5823516645308437</v>
      </c>
      <c r="N3" s="91">
        <v>6398.07373046875</v>
      </c>
      <c r="O3" s="91">
        <v>1432.1484375</v>
      </c>
      <c r="P3" s="92"/>
      <c r="Q3" s="93"/>
      <c r="R3" s="93"/>
      <c r="S3" s="68"/>
      <c r="T3" s="48">
        <v>1</v>
      </c>
      <c r="U3" s="48">
        <v>2</v>
      </c>
      <c r="V3" s="49">
        <v>0</v>
      </c>
      <c r="W3" s="49">
        <v>0.015625</v>
      </c>
      <c r="X3" s="49">
        <v>0</v>
      </c>
      <c r="Y3" s="49">
        <v>0.016458</v>
      </c>
      <c r="Z3" s="49">
        <v>0</v>
      </c>
      <c r="AA3" s="49">
        <v>0</v>
      </c>
      <c r="AB3" s="88">
        <v>3</v>
      </c>
      <c r="AC3" s="88"/>
      <c r="AD3" s="89"/>
      <c r="AE3" s="63" t="s">
        <v>1517</v>
      </c>
      <c r="AF3" s="63">
        <v>188</v>
      </c>
      <c r="AG3" s="63">
        <v>9118</v>
      </c>
      <c r="AH3" s="63">
        <v>726</v>
      </c>
      <c r="AI3" s="63"/>
      <c r="AJ3" s="63"/>
      <c r="AK3" s="66" t="str">
        <f>HYPERLINK("https://t.co/o04jigk3la")</f>
        <v>https://t.co/o04jigk3la</v>
      </c>
      <c r="AL3" s="63" t="s">
        <v>1582</v>
      </c>
      <c r="AM3" s="66"/>
      <c r="AN3" s="63"/>
      <c r="AO3" s="65">
        <v>39179.122465277775</v>
      </c>
      <c r="AP3" s="66" t="str">
        <f>HYPERLINK("https://pbs.twimg.com/profile_banners/3674531/1388812130")</f>
        <v>https://pbs.twimg.com/profile_banners/3674531/1388812130</v>
      </c>
      <c r="AQ3" s="63" t="b">
        <v>0</v>
      </c>
      <c r="AR3" s="63" t="b">
        <v>0</v>
      </c>
      <c r="AS3" s="63"/>
      <c r="AT3" s="63"/>
      <c r="AU3" s="63">
        <v>410</v>
      </c>
      <c r="AV3" s="66"/>
      <c r="AW3" s="63" t="b">
        <v>0</v>
      </c>
      <c r="AX3" s="63" t="s">
        <v>1689</v>
      </c>
      <c r="AY3" s="66" t="str">
        <f>HYPERLINK("https://twitter.com/jeremyl")</f>
        <v>https://twitter.com/jeremyl</v>
      </c>
      <c r="AZ3" s="63" t="s">
        <v>66</v>
      </c>
      <c r="BA3" s="48" t="s">
        <v>1777</v>
      </c>
      <c r="BB3" s="48" t="s">
        <v>1777</v>
      </c>
      <c r="BC3" s="48" t="s">
        <v>1781</v>
      </c>
      <c r="BD3" s="48" t="s">
        <v>1961</v>
      </c>
      <c r="BE3" s="48"/>
      <c r="BF3" s="48"/>
      <c r="BG3" s="83" t="s">
        <v>1973</v>
      </c>
      <c r="BH3" s="83" t="s">
        <v>1973</v>
      </c>
      <c r="BI3" s="83" t="s">
        <v>2016</v>
      </c>
      <c r="BJ3" s="83" t="s">
        <v>2016</v>
      </c>
      <c r="BK3" s="83"/>
      <c r="BL3" s="95"/>
      <c r="BM3" s="83"/>
      <c r="BN3" s="95"/>
      <c r="BO3" s="83"/>
      <c r="BP3" s="95"/>
      <c r="BQ3" s="83">
        <v>28</v>
      </c>
      <c r="BR3" s="95">
        <v>57.142857142857146</v>
      </c>
      <c r="BS3" s="83">
        <v>49</v>
      </c>
      <c r="BT3" s="67" t="str">
        <f>REPLACE(INDEX(GroupVertices[Group],MATCH(Vertices[[#This Row],[Vertex]],GroupVertices[Vertex],0)),1,1,"")</f>
        <v>13</v>
      </c>
      <c r="BU3" s="67" t="s">
        <v>1542</v>
      </c>
      <c r="BV3" s="83">
        <v>0</v>
      </c>
      <c r="BW3" s="95">
        <v>0</v>
      </c>
      <c r="BX3" s="83">
        <v>0</v>
      </c>
      <c r="BY3" s="95">
        <v>0</v>
      </c>
      <c r="BZ3" s="83">
        <v>0</v>
      </c>
      <c r="CA3" s="95">
        <v>0</v>
      </c>
      <c r="CB3" s="67"/>
      <c r="CC3" s="67"/>
      <c r="CD3" s="128" t="str">
        <f>HYPERLINK("https://t.co/GG1wC63PuI")</f>
        <v>https://t.co/GG1wC63PuI</v>
      </c>
      <c r="CE3" s="128" t="str">
        <f>HYPERLINK("https://www.bvp.com/team/jeremy-levine")</f>
        <v>https://www.bvp.com/team/jeremy-levine</v>
      </c>
      <c r="CF3" s="67" t="s">
        <v>1668</v>
      </c>
      <c r="CG3" s="128" t="str">
        <f>HYPERLINK("https://t.co/o04jigk3la")</f>
        <v>https://t.co/o04jigk3la</v>
      </c>
      <c r="CH3" s="128" t="str">
        <f>HYPERLINK("http://linkedin.com/in/jeremyl/")</f>
        <v>http://linkedin.com/in/jeremyl/</v>
      </c>
      <c r="CI3" s="67" t="s">
        <v>1685</v>
      </c>
      <c r="CJ3" s="67"/>
      <c r="CK3" s="67"/>
      <c r="CL3" s="67"/>
      <c r="CM3" s="67"/>
      <c r="CN3" s="128" t="str">
        <f>HYPERLINK("https://t.co/GG1wC63PuI")</f>
        <v>https://t.co/GG1wC63PuI</v>
      </c>
      <c r="CO3" s="100"/>
      <c r="CP3" s="67"/>
      <c r="CQ3" s="67"/>
      <c r="CR3" s="67"/>
      <c r="CS3" s="67"/>
      <c r="CT3" s="67"/>
      <c r="CU3" s="67"/>
      <c r="CV3" s="67"/>
      <c r="CW3" s="67"/>
      <c r="CX3" s="67"/>
      <c r="CY3" s="67"/>
      <c r="CZ3" s="67"/>
      <c r="DA3" s="67"/>
      <c r="DB3" s="67"/>
      <c r="DC3" s="67"/>
      <c r="DD3" s="128"/>
      <c r="DE3" s="67"/>
      <c r="DF3" s="67"/>
      <c r="DG3" s="67"/>
      <c r="DH3" s="67"/>
      <c r="DI3" s="67">
        <v>138</v>
      </c>
      <c r="DJ3" s="67">
        <v>27</v>
      </c>
      <c r="DK3" s="67" t="b">
        <v>0</v>
      </c>
      <c r="DL3" s="67"/>
      <c r="DM3" s="67"/>
      <c r="DN3" s="67" t="b">
        <v>0</v>
      </c>
      <c r="DO3" s="67" t="b">
        <v>1</v>
      </c>
      <c r="DP3" s="67" t="b">
        <v>0</v>
      </c>
      <c r="DQ3" s="67" t="b">
        <v>0</v>
      </c>
      <c r="DR3" s="67" t="b">
        <v>0</v>
      </c>
      <c r="DS3" s="67"/>
      <c r="DT3" s="67" t="s">
        <v>1687</v>
      </c>
      <c r="DU3" s="67" t="b">
        <v>0</v>
      </c>
      <c r="DV3" s="67"/>
      <c r="DW3" s="3"/>
      <c r="DX3" s="3"/>
    </row>
    <row r="4" spans="1:126" ht="41.45" customHeight="1">
      <c r="A4" s="62" t="s">
        <v>964</v>
      </c>
      <c r="B4" s="64"/>
      <c r="C4" s="78"/>
      <c r="D4" s="78" t="s">
        <v>64</v>
      </c>
      <c r="E4" s="84">
        <v>167.14458197372218</v>
      </c>
      <c r="F4" s="112">
        <v>99.9811915422966</v>
      </c>
      <c r="G4" s="69" t="str">
        <f>HYPERLINK("https://pbs.twimg.com/profile_images/1677798494533484545/dk2p_s0I_normal.jpg")</f>
        <v>https://pbs.twimg.com/profile_images/1677798494533484545/dk2p_s0I_normal.jpg</v>
      </c>
      <c r="H4" s="113"/>
      <c r="I4" s="70" t="s">
        <v>964</v>
      </c>
      <c r="J4" s="114"/>
      <c r="K4" s="114"/>
      <c r="L4" s="70" t="s">
        <v>1690</v>
      </c>
      <c r="M4" s="115">
        <v>7.268232003953782</v>
      </c>
      <c r="N4" s="91">
        <v>6398.07373046875</v>
      </c>
      <c r="O4" s="91">
        <v>824.5703125</v>
      </c>
      <c r="P4" s="92"/>
      <c r="Q4" s="93"/>
      <c r="R4" s="93"/>
      <c r="S4" s="116"/>
      <c r="T4" s="48">
        <v>1</v>
      </c>
      <c r="U4" s="48">
        <v>0</v>
      </c>
      <c r="V4" s="49">
        <v>0</v>
      </c>
      <c r="W4" s="49">
        <v>0.015625</v>
      </c>
      <c r="X4" s="49">
        <v>0</v>
      </c>
      <c r="Y4" s="49">
        <v>0.014311</v>
      </c>
      <c r="Z4" s="49">
        <v>0</v>
      </c>
      <c r="AA4" s="49">
        <v>0</v>
      </c>
      <c r="AB4" s="88">
        <v>4</v>
      </c>
      <c r="AC4" s="135"/>
      <c r="AD4" s="89"/>
      <c r="AE4" s="64" t="s">
        <v>1454</v>
      </c>
      <c r="AF4" s="64">
        <v>1189</v>
      </c>
      <c r="AG4" s="64">
        <v>98143</v>
      </c>
      <c r="AH4" s="64">
        <v>11503</v>
      </c>
      <c r="AI4" s="64"/>
      <c r="AJ4" s="64"/>
      <c r="AK4" s="64" t="s">
        <v>1583</v>
      </c>
      <c r="AL4" s="64"/>
      <c r="AM4" s="64"/>
      <c r="AN4" s="64"/>
      <c r="AO4" s="110">
        <v>40016.674050925925</v>
      </c>
      <c r="AP4" s="111" t="str">
        <f>HYPERLINK("https://pbs.twimg.com/profile_banners/59166197/1617835756")</f>
        <v>https://pbs.twimg.com/profile_banners/59166197/1617835756</v>
      </c>
      <c r="AQ4" s="64" t="b">
        <v>0</v>
      </c>
      <c r="AR4" s="64" t="b">
        <v>0</v>
      </c>
      <c r="AS4" s="64"/>
      <c r="AT4" s="64"/>
      <c r="AU4" s="64">
        <v>2407</v>
      </c>
      <c r="AV4" s="64"/>
      <c r="AW4" s="64" t="b">
        <v>0</v>
      </c>
      <c r="AX4" s="64" t="s">
        <v>1689</v>
      </c>
      <c r="AY4" s="111" t="str">
        <f>HYPERLINK("https://twitter.com/bessemervp")</f>
        <v>https://twitter.com/bessemervp</v>
      </c>
      <c r="AZ4" s="104" t="s">
        <v>65</v>
      </c>
      <c r="BA4" s="48"/>
      <c r="BB4" s="48"/>
      <c r="BC4" s="48"/>
      <c r="BD4" s="48"/>
      <c r="BE4" s="48"/>
      <c r="BF4" s="48"/>
      <c r="BG4" s="48"/>
      <c r="BH4" s="48"/>
      <c r="BI4" s="48"/>
      <c r="BJ4" s="48"/>
      <c r="BK4" s="105"/>
      <c r="BL4" s="106"/>
      <c r="BM4" s="105"/>
      <c r="BN4" s="106"/>
      <c r="BO4" s="105"/>
      <c r="BP4" s="106"/>
      <c r="BQ4" s="48"/>
      <c r="BR4" s="49"/>
      <c r="BS4" s="48"/>
      <c r="BT4" s="63" t="str">
        <f>REPLACE(INDEX(GroupVertices[Group],MATCH(Vertices[[#This Row],[Vertex]],GroupVertices[Vertex],0)),1,1,"")</f>
        <v>13</v>
      </c>
      <c r="BU4" s="138" t="s">
        <v>1518</v>
      </c>
      <c r="BV4" s="48"/>
      <c r="BW4" s="49"/>
      <c r="BX4" s="48"/>
      <c r="BY4" s="49"/>
      <c r="BZ4" s="48"/>
      <c r="CA4" s="49"/>
      <c r="CB4" s="107"/>
      <c r="CC4" s="64"/>
      <c r="CD4" s="111" t="str">
        <f>HYPERLINK("https://t.co/CFP1S7DjdU")</f>
        <v>https://t.co/CFP1S7DjdU</v>
      </c>
      <c r="CE4" s="111" t="str">
        <f>HYPERLINK("https://www.bvp.com/")</f>
        <v>https://www.bvp.com/</v>
      </c>
      <c r="CF4" s="64" t="s">
        <v>1641</v>
      </c>
      <c r="CG4" s="64"/>
      <c r="CH4" s="64"/>
      <c r="CI4" s="64"/>
      <c r="CJ4" s="64"/>
      <c r="CK4" s="64"/>
      <c r="CL4" s="64"/>
      <c r="CM4" s="64">
        <v>1.69982805934253E+18</v>
      </c>
      <c r="CN4" s="111" t="str">
        <f>HYPERLINK("https://t.co/CFP1S7DjdU")</f>
        <v>https://t.co/CFP1S7DjdU</v>
      </c>
      <c r="CO4" s="64"/>
      <c r="CP4" s="64"/>
      <c r="CQ4" s="64"/>
      <c r="CR4" s="64"/>
      <c r="CS4" s="64"/>
      <c r="CT4" s="64"/>
      <c r="CU4" s="64"/>
      <c r="CV4" s="64"/>
      <c r="CW4" s="64"/>
      <c r="CX4" s="64"/>
      <c r="CY4" s="64"/>
      <c r="CZ4" s="64"/>
      <c r="DA4" s="64"/>
      <c r="DB4" s="64"/>
      <c r="DC4" s="64"/>
      <c r="DD4" s="64"/>
      <c r="DE4" s="64"/>
      <c r="DF4" s="64"/>
      <c r="DG4" s="64"/>
      <c r="DH4" s="64"/>
      <c r="DI4" s="63">
        <v>11219</v>
      </c>
      <c r="DJ4" s="63">
        <v>1511</v>
      </c>
      <c r="DK4" s="63" t="b">
        <v>1</v>
      </c>
      <c r="DL4" s="63"/>
      <c r="DM4" s="63"/>
      <c r="DN4" s="63" t="b">
        <v>0</v>
      </c>
      <c r="DO4" s="63" t="b">
        <v>1</v>
      </c>
      <c r="DP4" s="63" t="b">
        <v>1</v>
      </c>
      <c r="DQ4" s="63" t="b">
        <v>0</v>
      </c>
      <c r="DR4" s="63" t="b">
        <v>0</v>
      </c>
      <c r="DS4" s="63"/>
      <c r="DT4" s="63" t="s">
        <v>1687</v>
      </c>
      <c r="DU4" s="63" t="b">
        <v>0</v>
      </c>
      <c r="DV4" s="63"/>
    </row>
    <row r="5" spans="1:126" ht="41.45" customHeight="1">
      <c r="A5" s="62" t="s">
        <v>902</v>
      </c>
      <c r="B5" s="64"/>
      <c r="C5" s="78"/>
      <c r="D5" s="78" t="s">
        <v>64</v>
      </c>
      <c r="E5" s="84">
        <v>162.00419353960953</v>
      </c>
      <c r="F5" s="112">
        <v>99.99998466852841</v>
      </c>
      <c r="G5" s="69" t="str">
        <f>HYPERLINK("https://pbs.twimg.com/profile_images/1541444805452042240/4baKQ9s5_normal.jpg")</f>
        <v>https://pbs.twimg.com/profile_images/1541444805452042240/4baKQ9s5_normal.jpg</v>
      </c>
      <c r="H5" s="113"/>
      <c r="I5" s="70" t="s">
        <v>902</v>
      </c>
      <c r="J5" s="114"/>
      <c r="K5" s="114"/>
      <c r="L5" s="70" t="s">
        <v>1691</v>
      </c>
      <c r="M5" s="115">
        <v>1.0051094684319442</v>
      </c>
      <c r="N5" s="91">
        <v>9114.84375</v>
      </c>
      <c r="O5" s="91">
        <v>3927.55859375</v>
      </c>
      <c r="P5" s="92"/>
      <c r="Q5" s="93"/>
      <c r="R5" s="93"/>
      <c r="S5" s="116"/>
      <c r="T5" s="48">
        <v>0</v>
      </c>
      <c r="U5" s="48">
        <v>1</v>
      </c>
      <c r="V5" s="49">
        <v>0</v>
      </c>
      <c r="W5" s="49">
        <v>0.015625</v>
      </c>
      <c r="X5" s="49">
        <v>0</v>
      </c>
      <c r="Y5" s="49">
        <v>0.014311</v>
      </c>
      <c r="Z5" s="49">
        <v>0</v>
      </c>
      <c r="AA5" s="49">
        <v>0</v>
      </c>
      <c r="AB5" s="88">
        <v>5</v>
      </c>
      <c r="AC5" s="135"/>
      <c r="AD5" s="89"/>
      <c r="AE5" s="64" t="s">
        <v>1455</v>
      </c>
      <c r="AF5" s="64">
        <v>595</v>
      </c>
      <c r="AG5" s="64">
        <v>80</v>
      </c>
      <c r="AH5" s="64">
        <v>743</v>
      </c>
      <c r="AI5" s="64"/>
      <c r="AJ5" s="64"/>
      <c r="AK5" s="64" t="s">
        <v>1584</v>
      </c>
      <c r="AL5" s="64" t="s">
        <v>1543</v>
      </c>
      <c r="AM5" s="64"/>
      <c r="AN5" s="64"/>
      <c r="AO5" s="110">
        <v>43107.12740740741</v>
      </c>
      <c r="AP5" s="111" t="str">
        <f>HYPERLINK("https://pbs.twimg.com/profile_banners/949838868454563840/1656344066")</f>
        <v>https://pbs.twimg.com/profile_banners/949838868454563840/1656344066</v>
      </c>
      <c r="AQ5" s="64" t="b">
        <v>1</v>
      </c>
      <c r="AR5" s="64" t="b">
        <v>0</v>
      </c>
      <c r="AS5" s="64"/>
      <c r="AT5" s="64"/>
      <c r="AU5" s="64">
        <v>0</v>
      </c>
      <c r="AV5" s="64"/>
      <c r="AW5" s="64" t="b">
        <v>0</v>
      </c>
      <c r="AX5" s="64" t="s">
        <v>1689</v>
      </c>
      <c r="AY5" s="111" t="str">
        <f>HYPERLINK("https://twitter.com/jeremyl_20")</f>
        <v>https://twitter.com/jeremyl_20</v>
      </c>
      <c r="AZ5" s="104" t="s">
        <v>66</v>
      </c>
      <c r="BA5" s="48"/>
      <c r="BB5" s="48"/>
      <c r="BC5" s="48"/>
      <c r="BD5" s="48"/>
      <c r="BE5" s="48"/>
      <c r="BF5" s="48"/>
      <c r="BG5" s="83" t="s">
        <v>1974</v>
      </c>
      <c r="BH5" s="83" t="s">
        <v>1974</v>
      </c>
      <c r="BI5" s="83" t="s">
        <v>2017</v>
      </c>
      <c r="BJ5" s="83" t="s">
        <v>2017</v>
      </c>
      <c r="BK5" s="105"/>
      <c r="BL5" s="106"/>
      <c r="BM5" s="105"/>
      <c r="BN5" s="106"/>
      <c r="BO5" s="105"/>
      <c r="BP5" s="106"/>
      <c r="BQ5" s="48">
        <v>5</v>
      </c>
      <c r="BR5" s="49">
        <v>83.33333333333333</v>
      </c>
      <c r="BS5" s="48">
        <v>6</v>
      </c>
      <c r="BT5" s="63" t="str">
        <f>REPLACE(INDEX(GroupVertices[Group],MATCH(Vertices[[#This Row],[Vertex]],GroupVertices[Vertex],0)),1,1,"")</f>
        <v>12</v>
      </c>
      <c r="BU5" s="138" t="s">
        <v>1423</v>
      </c>
      <c r="BV5" s="48">
        <v>0</v>
      </c>
      <c r="BW5" s="49">
        <v>0</v>
      </c>
      <c r="BX5" s="48">
        <v>0</v>
      </c>
      <c r="BY5" s="49">
        <v>0</v>
      </c>
      <c r="BZ5" s="48">
        <v>0</v>
      </c>
      <c r="CA5" s="49">
        <v>0</v>
      </c>
      <c r="CB5" s="107"/>
      <c r="CC5" s="64"/>
      <c r="CD5" s="64"/>
      <c r="CE5" s="64"/>
      <c r="CF5" s="64"/>
      <c r="CG5" s="111" t="str">
        <f>HYPERLINK("https://t.co/CvHicC9teG")</f>
        <v>https://t.co/CvHicC9teG</v>
      </c>
      <c r="CH5" s="111" t="str">
        <f>HYPERLINK("https://onlyfans.com/jeremylong30")</f>
        <v>https://onlyfans.com/jeremylong30</v>
      </c>
      <c r="CI5" s="64" t="s">
        <v>1675</v>
      </c>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3">
        <v>9071</v>
      </c>
      <c r="DJ5" s="63">
        <v>1</v>
      </c>
      <c r="DK5" s="63" t="b">
        <v>0</v>
      </c>
      <c r="DL5" s="63"/>
      <c r="DM5" s="63"/>
      <c r="DN5" s="63" t="b">
        <v>1</v>
      </c>
      <c r="DO5" s="63" t="b">
        <v>1</v>
      </c>
      <c r="DP5" s="63" t="b">
        <v>1</v>
      </c>
      <c r="DQ5" s="63" t="b">
        <v>0</v>
      </c>
      <c r="DR5" s="63" t="b">
        <v>0</v>
      </c>
      <c r="DS5" s="63"/>
      <c r="DT5" s="63" t="s">
        <v>1687</v>
      </c>
      <c r="DU5" s="63" t="b">
        <v>0</v>
      </c>
      <c r="DV5" s="63"/>
    </row>
    <row r="6" spans="1:126" ht="41.45" customHeight="1">
      <c r="A6" s="62" t="s">
        <v>938</v>
      </c>
      <c r="B6" s="64"/>
      <c r="C6" s="78"/>
      <c r="D6" s="78" t="s">
        <v>64</v>
      </c>
      <c r="E6" s="84">
        <v>236.2257035078671</v>
      </c>
      <c r="F6" s="112">
        <v>99.72863276121093</v>
      </c>
      <c r="G6" s="69" t="str">
        <f>HYPERLINK("https://pbs.twimg.com/profile_images/1315008572204421121/5FFyUXqf_normal.jpg")</f>
        <v>https://pbs.twimg.com/profile_images/1315008572204421121/5FFyUXqf_normal.jpg</v>
      </c>
      <c r="H6" s="113"/>
      <c r="I6" s="70" t="s">
        <v>938</v>
      </c>
      <c r="J6" s="114"/>
      <c r="K6" s="114"/>
      <c r="L6" s="70" t="s">
        <v>1692</v>
      </c>
      <c r="M6" s="115">
        <v>91.43765511376827</v>
      </c>
      <c r="N6" s="91">
        <v>9114.84375</v>
      </c>
      <c r="O6" s="91">
        <v>3102.98828125</v>
      </c>
      <c r="P6" s="92"/>
      <c r="Q6" s="93"/>
      <c r="R6" s="93"/>
      <c r="S6" s="116"/>
      <c r="T6" s="48">
        <v>2</v>
      </c>
      <c r="U6" s="48">
        <v>1</v>
      </c>
      <c r="V6" s="49">
        <v>0</v>
      </c>
      <c r="W6" s="49">
        <v>0.015625</v>
      </c>
      <c r="X6" s="49">
        <v>0</v>
      </c>
      <c r="Y6" s="49">
        <v>0.016458</v>
      </c>
      <c r="Z6" s="49">
        <v>0</v>
      </c>
      <c r="AA6" s="49">
        <v>0</v>
      </c>
      <c r="AB6" s="88">
        <v>6</v>
      </c>
      <c r="AC6" s="135"/>
      <c r="AD6" s="89"/>
      <c r="AE6" s="64" t="s">
        <v>1456</v>
      </c>
      <c r="AF6" s="64">
        <v>792</v>
      </c>
      <c r="AG6" s="64">
        <v>1416001</v>
      </c>
      <c r="AH6" s="64">
        <v>10074</v>
      </c>
      <c r="AI6" s="64"/>
      <c r="AJ6" s="64"/>
      <c r="AK6" s="64" t="s">
        <v>1585</v>
      </c>
      <c r="AL6" s="64" t="s">
        <v>1544</v>
      </c>
      <c r="AM6" s="64"/>
      <c r="AN6" s="64"/>
      <c r="AO6" s="110">
        <v>41643.90490740741</v>
      </c>
      <c r="AP6" s="111" t="str">
        <f>HYPERLINK("https://pbs.twimg.com/profile_banners/2276698777/1620564861")</f>
        <v>https://pbs.twimg.com/profile_banners/2276698777/1620564861</v>
      </c>
      <c r="AQ6" s="64" t="b">
        <v>0</v>
      </c>
      <c r="AR6" s="64" t="b">
        <v>0</v>
      </c>
      <c r="AS6" s="64"/>
      <c r="AT6" s="64"/>
      <c r="AU6" s="64">
        <v>1827</v>
      </c>
      <c r="AV6" s="64"/>
      <c r="AW6" s="64" t="b">
        <v>0</v>
      </c>
      <c r="AX6" s="64" t="s">
        <v>1689</v>
      </c>
      <c r="AY6" s="111" t="str">
        <f>HYPERLINK("https://twitter.com/popculture2000s")</f>
        <v>https://twitter.com/popculture2000s</v>
      </c>
      <c r="AZ6" s="104" t="s">
        <v>66</v>
      </c>
      <c r="BA6" s="48"/>
      <c r="BB6" s="48"/>
      <c r="BC6" s="48"/>
      <c r="BD6" s="48"/>
      <c r="BE6" s="48"/>
      <c r="BF6" s="48"/>
      <c r="BG6" s="83" t="s">
        <v>1858</v>
      </c>
      <c r="BH6" s="83" t="s">
        <v>1858</v>
      </c>
      <c r="BI6" s="83" t="s">
        <v>1925</v>
      </c>
      <c r="BJ6" s="83" t="s">
        <v>1925</v>
      </c>
      <c r="BK6" s="105"/>
      <c r="BL6" s="106"/>
      <c r="BM6" s="105"/>
      <c r="BN6" s="106"/>
      <c r="BO6" s="105"/>
      <c r="BP6" s="106"/>
      <c r="BQ6" s="48">
        <v>4</v>
      </c>
      <c r="BR6" s="49">
        <v>100</v>
      </c>
      <c r="BS6" s="48">
        <v>4</v>
      </c>
      <c r="BT6" s="63" t="str">
        <f>REPLACE(INDEX(GroupVertices[Group],MATCH(Vertices[[#This Row],[Vertex]],GroupVertices[Vertex],0)),1,1,"")</f>
        <v>12</v>
      </c>
      <c r="BU6" s="138" t="s">
        <v>1519</v>
      </c>
      <c r="BV6" s="48">
        <v>0</v>
      </c>
      <c r="BW6" s="49">
        <v>0</v>
      </c>
      <c r="BX6" s="48">
        <v>0</v>
      </c>
      <c r="BY6" s="49">
        <v>0</v>
      </c>
      <c r="BZ6" s="48">
        <v>0</v>
      </c>
      <c r="CA6" s="49">
        <v>0</v>
      </c>
      <c r="CB6" s="107"/>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3">
        <v>8787</v>
      </c>
      <c r="DJ6" s="63">
        <v>5277</v>
      </c>
      <c r="DK6" s="63" t="b">
        <v>1</v>
      </c>
      <c r="DL6" s="63"/>
      <c r="DM6" s="63"/>
      <c r="DN6" s="63" t="b">
        <v>1</v>
      </c>
      <c r="DO6" s="63" t="b">
        <v>1</v>
      </c>
      <c r="DP6" s="63" t="b">
        <v>1</v>
      </c>
      <c r="DQ6" s="63" t="b">
        <v>0</v>
      </c>
      <c r="DR6" s="63" t="b">
        <v>0</v>
      </c>
      <c r="DS6" s="63"/>
      <c r="DT6" s="63" t="s">
        <v>1688</v>
      </c>
      <c r="DU6" s="63" t="b">
        <v>0</v>
      </c>
      <c r="DV6" s="63"/>
    </row>
    <row r="7" spans="1:126" ht="41.45" customHeight="1">
      <c r="A7" s="62" t="s">
        <v>903</v>
      </c>
      <c r="B7" s="64"/>
      <c r="C7" s="78"/>
      <c r="D7" s="78" t="s">
        <v>64</v>
      </c>
      <c r="E7" s="84">
        <v>162.42742652470102</v>
      </c>
      <c r="F7" s="112">
        <v>99.99843733975817</v>
      </c>
      <c r="G7" s="69" t="str">
        <f>HYPERLINK("https://pbs.twimg.com/profile_images/1662869898811277321/kHxssA1A_normal.jpg")</f>
        <v>https://pbs.twimg.com/profile_images/1662869898811277321/kHxssA1A_normal.jpg</v>
      </c>
      <c r="H7" s="113"/>
      <c r="I7" s="70" t="s">
        <v>903</v>
      </c>
      <c r="J7" s="114"/>
      <c r="K7" s="114"/>
      <c r="L7" s="70" t="s">
        <v>1693</v>
      </c>
      <c r="M7" s="115">
        <v>1.5207825699259157</v>
      </c>
      <c r="N7" s="91">
        <v>4384.505859375</v>
      </c>
      <c r="O7" s="91">
        <v>3037.890625</v>
      </c>
      <c r="P7" s="92"/>
      <c r="Q7" s="93"/>
      <c r="R7" s="93"/>
      <c r="S7" s="116"/>
      <c r="T7" s="48">
        <v>0</v>
      </c>
      <c r="U7" s="48">
        <v>5</v>
      </c>
      <c r="V7" s="49">
        <v>76</v>
      </c>
      <c r="W7" s="49">
        <v>0.1125</v>
      </c>
      <c r="X7" s="49">
        <v>0.0001</v>
      </c>
      <c r="Y7" s="49">
        <v>0.021788</v>
      </c>
      <c r="Z7" s="49">
        <v>0</v>
      </c>
      <c r="AA7" s="49">
        <v>0</v>
      </c>
      <c r="AB7" s="88">
        <v>7</v>
      </c>
      <c r="AC7" s="135"/>
      <c r="AD7" s="89"/>
      <c r="AE7" s="64" t="s">
        <v>1457</v>
      </c>
      <c r="AF7" s="64">
        <v>8018</v>
      </c>
      <c r="AG7" s="64">
        <v>8154</v>
      </c>
      <c r="AH7" s="64">
        <v>176742</v>
      </c>
      <c r="AI7" s="64"/>
      <c r="AJ7" s="64"/>
      <c r="AK7" s="64" t="s">
        <v>1586</v>
      </c>
      <c r="AL7" s="64" t="s">
        <v>1545</v>
      </c>
      <c r="AM7" s="64"/>
      <c r="AN7" s="64"/>
      <c r="AO7" s="110">
        <v>39750.165671296294</v>
      </c>
      <c r="AP7" s="111" t="str">
        <f>HYPERLINK("https://pbs.twimg.com/profile_banners/17035423/1689818093")</f>
        <v>https://pbs.twimg.com/profile_banners/17035423/1689818093</v>
      </c>
      <c r="AQ7" s="64" t="b">
        <v>0</v>
      </c>
      <c r="AR7" s="64" t="b">
        <v>0</v>
      </c>
      <c r="AS7" s="64"/>
      <c r="AT7" s="64"/>
      <c r="AU7" s="64">
        <v>567</v>
      </c>
      <c r="AV7" s="64"/>
      <c r="AW7" s="64" t="b">
        <v>0</v>
      </c>
      <c r="AX7" s="64" t="s">
        <v>1689</v>
      </c>
      <c r="AY7" s="111" t="str">
        <f>HYPERLINK("https://twitter.com/ccooke6685")</f>
        <v>https://twitter.com/ccooke6685</v>
      </c>
      <c r="AZ7" s="104" t="s">
        <v>66</v>
      </c>
      <c r="BA7" s="48"/>
      <c r="BB7" s="48"/>
      <c r="BC7" s="48"/>
      <c r="BD7" s="48"/>
      <c r="BE7" s="48"/>
      <c r="BF7" s="48"/>
      <c r="BG7" s="83" t="s">
        <v>1975</v>
      </c>
      <c r="BH7" s="83" t="s">
        <v>2010</v>
      </c>
      <c r="BI7" s="83" t="s">
        <v>2018</v>
      </c>
      <c r="BJ7" s="83" t="s">
        <v>2054</v>
      </c>
      <c r="BK7" s="105"/>
      <c r="BL7" s="106"/>
      <c r="BM7" s="105"/>
      <c r="BN7" s="106"/>
      <c r="BO7" s="105"/>
      <c r="BP7" s="106"/>
      <c r="BQ7" s="48">
        <v>14</v>
      </c>
      <c r="BR7" s="49">
        <v>87.5</v>
      </c>
      <c r="BS7" s="48">
        <v>16</v>
      </c>
      <c r="BT7" s="63" t="str">
        <f>REPLACE(INDEX(GroupVertices[Group],MATCH(Vertices[[#This Row],[Vertex]],GroupVertices[Vertex],0)),1,1,"")</f>
        <v>6</v>
      </c>
      <c r="BU7" s="138" t="s">
        <v>1520</v>
      </c>
      <c r="BV7" s="48">
        <v>0</v>
      </c>
      <c r="BW7" s="49">
        <v>0</v>
      </c>
      <c r="BX7" s="48">
        <v>0</v>
      </c>
      <c r="BY7" s="49">
        <v>0</v>
      </c>
      <c r="BZ7" s="48">
        <v>0</v>
      </c>
      <c r="CA7" s="49">
        <v>0</v>
      </c>
      <c r="CB7" s="107"/>
      <c r="CC7" s="64"/>
      <c r="CD7" s="111" t="str">
        <f>HYPERLINK("https://t.co/JPS9MzOeMx")</f>
        <v>https://t.co/JPS9MzOeMx</v>
      </c>
      <c r="CE7" s="111" t="str">
        <f>HYPERLINK("https://www.instagram.com/christophercooke8/")</f>
        <v>https://www.instagram.com/christophercooke8/</v>
      </c>
      <c r="CF7" s="64" t="s">
        <v>1642</v>
      </c>
      <c r="CG7" s="64"/>
      <c r="CH7" s="64"/>
      <c r="CI7" s="64"/>
      <c r="CJ7" s="64"/>
      <c r="CK7" s="64"/>
      <c r="CL7" s="64"/>
      <c r="CM7" s="64"/>
      <c r="CN7" s="111" t="str">
        <f>HYPERLINK("https://t.co/JPS9MzOeMx")</f>
        <v>https://t.co/JPS9MzOeMx</v>
      </c>
      <c r="CO7" s="64"/>
      <c r="CP7" s="64"/>
      <c r="CQ7" s="64"/>
      <c r="CR7" s="64"/>
      <c r="CS7" s="64"/>
      <c r="CT7" s="64"/>
      <c r="CU7" s="64"/>
      <c r="CV7" s="64"/>
      <c r="CW7" s="64"/>
      <c r="CX7" s="64"/>
      <c r="CY7" s="64"/>
      <c r="CZ7" s="64"/>
      <c r="DA7" s="64"/>
      <c r="DB7" s="64"/>
      <c r="DC7" s="64"/>
      <c r="DD7" s="64"/>
      <c r="DE7" s="64"/>
      <c r="DF7" s="64"/>
      <c r="DG7" s="64"/>
      <c r="DH7" s="64"/>
      <c r="DI7" s="63">
        <v>405260</v>
      </c>
      <c r="DJ7" s="63">
        <v>623</v>
      </c>
      <c r="DK7" s="63" t="b">
        <v>0</v>
      </c>
      <c r="DL7" s="63"/>
      <c r="DM7" s="63"/>
      <c r="DN7" s="63" t="b">
        <v>0</v>
      </c>
      <c r="DO7" s="63" t="b">
        <v>1</v>
      </c>
      <c r="DP7" s="63" t="b">
        <v>1</v>
      </c>
      <c r="DQ7" s="63" t="b">
        <v>0</v>
      </c>
      <c r="DR7" s="63" t="b">
        <v>0</v>
      </c>
      <c r="DS7" s="63"/>
      <c r="DT7" s="63" t="s">
        <v>1687</v>
      </c>
      <c r="DU7" s="63" t="b">
        <v>0</v>
      </c>
      <c r="DV7" s="63"/>
    </row>
    <row r="8" spans="1:126" ht="41.45" customHeight="1">
      <c r="A8" s="62" t="s">
        <v>940</v>
      </c>
      <c r="B8" s="64"/>
      <c r="C8" s="78"/>
      <c r="D8" s="78" t="s">
        <v>64</v>
      </c>
      <c r="E8" s="84">
        <v>162.08140708766993</v>
      </c>
      <c r="F8" s="112">
        <v>99.99970237780775</v>
      </c>
      <c r="G8" s="69" t="str">
        <f>HYPERLINK("https://pbs.twimg.com/profile_images/1347891671502041089/AvpfBHcR_normal.jpg")</f>
        <v>https://pbs.twimg.com/profile_images/1347891671502041089/AvpfBHcR_normal.jpg</v>
      </c>
      <c r="H8" s="113"/>
      <c r="I8" s="70" t="s">
        <v>940</v>
      </c>
      <c r="J8" s="114"/>
      <c r="K8" s="114"/>
      <c r="L8" s="70" t="s">
        <v>1694</v>
      </c>
      <c r="M8" s="115">
        <v>1.0991875559351174</v>
      </c>
      <c r="N8" s="91">
        <v>4869.86962890625</v>
      </c>
      <c r="O8" s="91">
        <v>2349.144287109375</v>
      </c>
      <c r="P8" s="92"/>
      <c r="Q8" s="93"/>
      <c r="R8" s="93"/>
      <c r="S8" s="116"/>
      <c r="T8" s="48">
        <v>1</v>
      </c>
      <c r="U8" s="48">
        <v>0</v>
      </c>
      <c r="V8" s="49">
        <v>0</v>
      </c>
      <c r="W8" s="49">
        <v>0.072581</v>
      </c>
      <c r="X8" s="49">
        <v>2.9E-05</v>
      </c>
      <c r="Y8" s="49">
        <v>0.013731</v>
      </c>
      <c r="Z8" s="49">
        <v>0</v>
      </c>
      <c r="AA8" s="49">
        <v>0</v>
      </c>
      <c r="AB8" s="88">
        <v>8</v>
      </c>
      <c r="AC8" s="135"/>
      <c r="AD8" s="89"/>
      <c r="AE8" s="64" t="s">
        <v>1458</v>
      </c>
      <c r="AF8" s="64">
        <v>3700</v>
      </c>
      <c r="AG8" s="64">
        <v>1553</v>
      </c>
      <c r="AH8" s="64">
        <v>19518</v>
      </c>
      <c r="AI8" s="64"/>
      <c r="AJ8" s="64"/>
      <c r="AK8" s="64" t="s">
        <v>1587</v>
      </c>
      <c r="AL8" s="64"/>
      <c r="AM8" s="64"/>
      <c r="AN8" s="64"/>
      <c r="AO8" s="110">
        <v>41273.67916666667</v>
      </c>
      <c r="AP8" s="64"/>
      <c r="AQ8" s="64" t="b">
        <v>1</v>
      </c>
      <c r="AR8" s="64" t="b">
        <v>0</v>
      </c>
      <c r="AS8" s="64"/>
      <c r="AT8" s="64"/>
      <c r="AU8" s="64">
        <v>4</v>
      </c>
      <c r="AV8" s="64"/>
      <c r="AW8" s="64" t="b">
        <v>0</v>
      </c>
      <c r="AX8" s="64" t="s">
        <v>1689</v>
      </c>
      <c r="AY8" s="111" t="str">
        <f>HYPERLINK("https://twitter.com/jokozlowski")</f>
        <v>https://twitter.com/jokozlowski</v>
      </c>
      <c r="AZ8" s="104" t="s">
        <v>65</v>
      </c>
      <c r="BA8" s="48"/>
      <c r="BB8" s="48"/>
      <c r="BC8" s="48"/>
      <c r="BD8" s="48"/>
      <c r="BE8" s="48"/>
      <c r="BF8" s="48"/>
      <c r="BG8" s="48"/>
      <c r="BH8" s="48"/>
      <c r="BI8" s="48"/>
      <c r="BJ8" s="48"/>
      <c r="BK8" s="105"/>
      <c r="BL8" s="106"/>
      <c r="BM8" s="105"/>
      <c r="BN8" s="106"/>
      <c r="BO8" s="105"/>
      <c r="BP8" s="106"/>
      <c r="BQ8" s="48"/>
      <c r="BR8" s="49"/>
      <c r="BS8" s="48"/>
      <c r="BT8" s="63" t="str">
        <f>REPLACE(INDEX(GroupVertices[Group],MATCH(Vertices[[#This Row],[Vertex]],GroupVertices[Vertex],0)),1,1,"")</f>
        <v>6</v>
      </c>
      <c r="BU8" s="138" t="s">
        <v>1399</v>
      </c>
      <c r="BV8" s="48"/>
      <c r="BW8" s="49"/>
      <c r="BX8" s="48"/>
      <c r="BY8" s="49"/>
      <c r="BZ8" s="48"/>
      <c r="CA8" s="49"/>
      <c r="CB8" s="107"/>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3">
        <v>68901</v>
      </c>
      <c r="DJ8" s="63">
        <v>1221</v>
      </c>
      <c r="DK8" s="63" t="b">
        <v>0</v>
      </c>
      <c r="DL8" s="63"/>
      <c r="DM8" s="63"/>
      <c r="DN8" s="63" t="b">
        <v>0</v>
      </c>
      <c r="DO8" s="63" t="b">
        <v>1</v>
      </c>
      <c r="DP8" s="63" t="b">
        <v>1</v>
      </c>
      <c r="DQ8" s="63" t="b">
        <v>0</v>
      </c>
      <c r="DR8" s="63" t="b">
        <v>0</v>
      </c>
      <c r="DS8" s="63"/>
      <c r="DT8" s="63" t="s">
        <v>1687</v>
      </c>
      <c r="DU8" s="63" t="b">
        <v>0</v>
      </c>
      <c r="DV8" s="63"/>
    </row>
    <row r="9" spans="1:126" ht="41.45" customHeight="1">
      <c r="A9" s="62" t="s">
        <v>941</v>
      </c>
      <c r="B9" s="64"/>
      <c r="C9" s="78"/>
      <c r="D9" s="78" t="s">
        <v>64</v>
      </c>
      <c r="E9" s="84">
        <v>163.02301398774404</v>
      </c>
      <c r="F9" s="112">
        <v>99.99625988750559</v>
      </c>
      <c r="G9" s="69" t="str">
        <f>HYPERLINK("https://pbs.twimg.com/profile_images/1676769121516625920/3JKSsEPQ_normal.jpg")</f>
        <v>https://pbs.twimg.com/profile_images/1676769121516625920/3JKSsEPQ_normal.jpg</v>
      </c>
      <c r="H9" s="113"/>
      <c r="I9" s="70" t="s">
        <v>941</v>
      </c>
      <c r="J9" s="114"/>
      <c r="K9" s="114"/>
      <c r="L9" s="70" t="s">
        <v>1695</v>
      </c>
      <c r="M9" s="115">
        <v>2.246454823972795</v>
      </c>
      <c r="N9" s="91">
        <v>5353.16259765625</v>
      </c>
      <c r="O9" s="91">
        <v>2363.627197265625</v>
      </c>
      <c r="P9" s="92"/>
      <c r="Q9" s="93"/>
      <c r="R9" s="93"/>
      <c r="S9" s="116"/>
      <c r="T9" s="48">
        <v>1</v>
      </c>
      <c r="U9" s="48">
        <v>0</v>
      </c>
      <c r="V9" s="49">
        <v>0</v>
      </c>
      <c r="W9" s="49">
        <v>0.072581</v>
      </c>
      <c r="X9" s="49">
        <v>2.9E-05</v>
      </c>
      <c r="Y9" s="49">
        <v>0.013731</v>
      </c>
      <c r="Z9" s="49">
        <v>0</v>
      </c>
      <c r="AA9" s="49">
        <v>0</v>
      </c>
      <c r="AB9" s="88">
        <v>9</v>
      </c>
      <c r="AC9" s="135"/>
      <c r="AD9" s="89"/>
      <c r="AE9" s="64" t="s">
        <v>1459</v>
      </c>
      <c r="AF9" s="64">
        <v>19677</v>
      </c>
      <c r="AG9" s="64">
        <v>19516</v>
      </c>
      <c r="AH9" s="64">
        <v>317456</v>
      </c>
      <c r="AI9" s="64"/>
      <c r="AJ9" s="64"/>
      <c r="AK9" s="64" t="s">
        <v>1588</v>
      </c>
      <c r="AL9" s="64" t="s">
        <v>1546</v>
      </c>
      <c r="AM9" s="64"/>
      <c r="AN9" s="64"/>
      <c r="AO9" s="110">
        <v>41426.39761574074</v>
      </c>
      <c r="AP9" s="64"/>
      <c r="AQ9" s="64" t="b">
        <v>0</v>
      </c>
      <c r="AR9" s="64" t="b">
        <v>0</v>
      </c>
      <c r="AS9" s="64"/>
      <c r="AT9" s="64"/>
      <c r="AU9" s="64">
        <v>15</v>
      </c>
      <c r="AV9" s="64"/>
      <c r="AW9" s="64" t="b">
        <v>0</v>
      </c>
      <c r="AX9" s="64" t="s">
        <v>1689</v>
      </c>
      <c r="AY9" s="111" t="str">
        <f>HYPERLINK("https://twitter.com/effiedog")</f>
        <v>https://twitter.com/effiedog</v>
      </c>
      <c r="AZ9" s="104" t="s">
        <v>65</v>
      </c>
      <c r="BA9" s="48"/>
      <c r="BB9" s="48"/>
      <c r="BC9" s="48"/>
      <c r="BD9" s="48"/>
      <c r="BE9" s="48"/>
      <c r="BF9" s="48"/>
      <c r="BG9" s="48"/>
      <c r="BH9" s="48"/>
      <c r="BI9" s="48"/>
      <c r="BJ9" s="48"/>
      <c r="BK9" s="105"/>
      <c r="BL9" s="106"/>
      <c r="BM9" s="105"/>
      <c r="BN9" s="106"/>
      <c r="BO9" s="105"/>
      <c r="BP9" s="106"/>
      <c r="BQ9" s="48"/>
      <c r="BR9" s="49"/>
      <c r="BS9" s="48"/>
      <c r="BT9" s="63" t="str">
        <f>REPLACE(INDEX(GroupVertices[Group],MATCH(Vertices[[#This Row],[Vertex]],GroupVertices[Vertex],0)),1,1,"")</f>
        <v>6</v>
      </c>
      <c r="BU9" s="138" t="s">
        <v>1521</v>
      </c>
      <c r="BV9" s="48"/>
      <c r="BW9" s="49"/>
      <c r="BX9" s="48"/>
      <c r="BY9" s="49"/>
      <c r="BZ9" s="48"/>
      <c r="CA9" s="49"/>
      <c r="CB9" s="107"/>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3">
        <v>280473</v>
      </c>
      <c r="DJ9" s="63">
        <v>4596</v>
      </c>
      <c r="DK9" s="63" t="b">
        <v>0</v>
      </c>
      <c r="DL9" s="63"/>
      <c r="DM9" s="63"/>
      <c r="DN9" s="63" t="b">
        <v>0</v>
      </c>
      <c r="DO9" s="63" t="b">
        <v>0</v>
      </c>
      <c r="DP9" s="63" t="b">
        <v>0</v>
      </c>
      <c r="DQ9" s="63" t="b">
        <v>0</v>
      </c>
      <c r="DR9" s="63" t="b">
        <v>0</v>
      </c>
      <c r="DS9" s="63"/>
      <c r="DT9" s="63" t="s">
        <v>1687</v>
      </c>
      <c r="DU9" s="63" t="b">
        <v>0</v>
      </c>
      <c r="DV9" s="63"/>
    </row>
    <row r="10" spans="1:126" ht="41.45" customHeight="1">
      <c r="A10" s="62" t="s">
        <v>942</v>
      </c>
      <c r="B10" s="64"/>
      <c r="C10" s="78"/>
      <c r="D10" s="78" t="s">
        <v>64</v>
      </c>
      <c r="E10" s="84">
        <v>162.1631286908106</v>
      </c>
      <c r="F10" s="112">
        <v>99.99940360575515</v>
      </c>
      <c r="G10" s="69" t="str">
        <f>HYPERLINK("https://pbs.twimg.com/profile_images/943167209479819264/NzUPkf7w_normal.jpg")</f>
        <v>https://pbs.twimg.com/profile_images/943167209479819264/NzUPkf7w_normal.jpg</v>
      </c>
      <c r="H10" s="113"/>
      <c r="I10" s="70" t="s">
        <v>942</v>
      </c>
      <c r="J10" s="114"/>
      <c r="K10" s="114"/>
      <c r="L10" s="70" t="s">
        <v>1696</v>
      </c>
      <c r="M10" s="115">
        <v>1.1987583220026305</v>
      </c>
      <c r="N10" s="91">
        <v>3552.699462890625</v>
      </c>
      <c r="O10" s="91">
        <v>520.78125</v>
      </c>
      <c r="P10" s="92"/>
      <c r="Q10" s="93"/>
      <c r="R10" s="93"/>
      <c r="S10" s="116"/>
      <c r="T10" s="48">
        <v>1</v>
      </c>
      <c r="U10" s="48">
        <v>0</v>
      </c>
      <c r="V10" s="49">
        <v>0</v>
      </c>
      <c r="W10" s="49">
        <v>0.072581</v>
      </c>
      <c r="X10" s="49">
        <v>2.9E-05</v>
      </c>
      <c r="Y10" s="49">
        <v>0.013731</v>
      </c>
      <c r="Z10" s="49">
        <v>0</v>
      </c>
      <c r="AA10" s="49">
        <v>0</v>
      </c>
      <c r="AB10" s="88">
        <v>10</v>
      </c>
      <c r="AC10" s="135"/>
      <c r="AD10" s="89"/>
      <c r="AE10" s="64" t="s">
        <v>1460</v>
      </c>
      <c r="AF10" s="64">
        <v>5000</v>
      </c>
      <c r="AG10" s="64">
        <v>3112</v>
      </c>
      <c r="AH10" s="64">
        <v>103789</v>
      </c>
      <c r="AI10" s="64"/>
      <c r="AJ10" s="64"/>
      <c r="AK10" s="64" t="s">
        <v>1589</v>
      </c>
      <c r="AL10" s="64" t="s">
        <v>1547</v>
      </c>
      <c r="AM10" s="64"/>
      <c r="AN10" s="64"/>
      <c r="AO10" s="110">
        <v>40051.9903587963</v>
      </c>
      <c r="AP10" s="111" t="str">
        <f>HYPERLINK("https://pbs.twimg.com/profile_banners/69136365/1401391661")</f>
        <v>https://pbs.twimg.com/profile_banners/69136365/1401391661</v>
      </c>
      <c r="AQ10" s="64" t="b">
        <v>0</v>
      </c>
      <c r="AR10" s="64" t="b">
        <v>0</v>
      </c>
      <c r="AS10" s="64"/>
      <c r="AT10" s="64"/>
      <c r="AU10" s="64">
        <v>89</v>
      </c>
      <c r="AV10" s="64"/>
      <c r="AW10" s="64" t="b">
        <v>0</v>
      </c>
      <c r="AX10" s="64" t="s">
        <v>1689</v>
      </c>
      <c r="AY10" s="111" t="str">
        <f>HYPERLINK("https://twitter.com/nebraskasower")</f>
        <v>https://twitter.com/nebraskasower</v>
      </c>
      <c r="AZ10" s="104" t="s">
        <v>65</v>
      </c>
      <c r="BA10" s="48"/>
      <c r="BB10" s="48"/>
      <c r="BC10" s="48"/>
      <c r="BD10" s="48"/>
      <c r="BE10" s="48"/>
      <c r="BF10" s="48"/>
      <c r="BG10" s="48"/>
      <c r="BH10" s="48"/>
      <c r="BI10" s="48"/>
      <c r="BJ10" s="48"/>
      <c r="BK10" s="105"/>
      <c r="BL10" s="106"/>
      <c r="BM10" s="105"/>
      <c r="BN10" s="106"/>
      <c r="BO10" s="105"/>
      <c r="BP10" s="106"/>
      <c r="BQ10" s="48"/>
      <c r="BR10" s="49"/>
      <c r="BS10" s="48"/>
      <c r="BT10" s="63" t="str">
        <f>REPLACE(INDEX(GroupVertices[Group],MATCH(Vertices[[#This Row],[Vertex]],GroupVertices[Vertex],0)),1,1,"")</f>
        <v>6</v>
      </c>
      <c r="BU10" s="138" t="s">
        <v>1522</v>
      </c>
      <c r="BV10" s="48"/>
      <c r="BW10" s="49"/>
      <c r="BX10" s="48"/>
      <c r="BY10" s="49"/>
      <c r="BZ10" s="48"/>
      <c r="CA10" s="49"/>
      <c r="CB10" s="107"/>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3">
        <v>65199</v>
      </c>
      <c r="DJ10" s="63">
        <v>4329</v>
      </c>
      <c r="DK10" s="63" t="b">
        <v>0</v>
      </c>
      <c r="DL10" s="63"/>
      <c r="DM10" s="63"/>
      <c r="DN10" s="63" t="b">
        <v>0</v>
      </c>
      <c r="DO10" s="63" t="b">
        <v>1</v>
      </c>
      <c r="DP10" s="63" t="b">
        <v>1</v>
      </c>
      <c r="DQ10" s="63" t="b">
        <v>0</v>
      </c>
      <c r="DR10" s="63" t="b">
        <v>0</v>
      </c>
      <c r="DS10" s="63"/>
      <c r="DT10" s="63" t="s">
        <v>1687</v>
      </c>
      <c r="DU10" s="63" t="b">
        <v>0</v>
      </c>
      <c r="DV10" s="63"/>
    </row>
    <row r="11" spans="1:126" ht="41.45" customHeight="1">
      <c r="A11" s="62" t="s">
        <v>943</v>
      </c>
      <c r="B11" s="64"/>
      <c r="C11" s="78"/>
      <c r="D11" s="78" t="s">
        <v>64</v>
      </c>
      <c r="E11" s="84">
        <v>162.50222878748593</v>
      </c>
      <c r="F11" s="112">
        <v>99.99816386463368</v>
      </c>
      <c r="G11" s="69" t="str">
        <f>HYPERLINK("https://pbs.twimg.com/profile_images/1169516640695963648/lvWe6GyN_normal.jpg")</f>
        <v>https://pbs.twimg.com/profile_images/1169516640695963648/lvWe6GyN_normal.jpg</v>
      </c>
      <c r="H11" s="113"/>
      <c r="I11" s="70" t="s">
        <v>943</v>
      </c>
      <c r="J11" s="114"/>
      <c r="K11" s="114"/>
      <c r="L11" s="70" t="s">
        <v>1697</v>
      </c>
      <c r="M11" s="115">
        <v>1.611922713080721</v>
      </c>
      <c r="N11" s="91">
        <v>3996.5361328125</v>
      </c>
      <c r="O11" s="91">
        <v>1455.244140625</v>
      </c>
      <c r="P11" s="92"/>
      <c r="Q11" s="93"/>
      <c r="R11" s="93"/>
      <c r="S11" s="116"/>
      <c r="T11" s="48">
        <v>1</v>
      </c>
      <c r="U11" s="48">
        <v>0</v>
      </c>
      <c r="V11" s="49">
        <v>0</v>
      </c>
      <c r="W11" s="49">
        <v>0.072581</v>
      </c>
      <c r="X11" s="49">
        <v>2.9E-05</v>
      </c>
      <c r="Y11" s="49">
        <v>0.013731</v>
      </c>
      <c r="Z11" s="49">
        <v>0</v>
      </c>
      <c r="AA11" s="49">
        <v>0</v>
      </c>
      <c r="AB11" s="88">
        <v>11</v>
      </c>
      <c r="AC11" s="135"/>
      <c r="AD11" s="89"/>
      <c r="AE11" s="64" t="s">
        <v>1461</v>
      </c>
      <c r="AF11" s="64">
        <v>9454</v>
      </c>
      <c r="AG11" s="64">
        <v>9581</v>
      </c>
      <c r="AH11" s="64">
        <v>238120</v>
      </c>
      <c r="AI11" s="64"/>
      <c r="AJ11" s="64"/>
      <c r="AK11" s="64" t="s">
        <v>1590</v>
      </c>
      <c r="AL11" s="64" t="s">
        <v>1548</v>
      </c>
      <c r="AM11" s="64"/>
      <c r="AN11" s="64"/>
      <c r="AO11" s="110">
        <v>43713.32115740741</v>
      </c>
      <c r="AP11" s="111" t="str">
        <f>HYPERLINK("https://pbs.twimg.com/profile_banners/1169516073181466625/1620550258")</f>
        <v>https://pbs.twimg.com/profile_banners/1169516073181466625/1620550258</v>
      </c>
      <c r="AQ11" s="64" t="b">
        <v>1</v>
      </c>
      <c r="AR11" s="64" t="b">
        <v>0</v>
      </c>
      <c r="AS11" s="64"/>
      <c r="AT11" s="64"/>
      <c r="AU11" s="64">
        <v>4</v>
      </c>
      <c r="AV11" s="64"/>
      <c r="AW11" s="64" t="b">
        <v>0</v>
      </c>
      <c r="AX11" s="64" t="s">
        <v>1689</v>
      </c>
      <c r="AY11" s="111" t="str">
        <f>HYPERLINK("https://twitter.com/jaximperator")</f>
        <v>https://twitter.com/jaximperator</v>
      </c>
      <c r="AZ11" s="104" t="s">
        <v>65</v>
      </c>
      <c r="BA11" s="48"/>
      <c r="BB11" s="48"/>
      <c r="BC11" s="48"/>
      <c r="BD11" s="48"/>
      <c r="BE11" s="48"/>
      <c r="BF11" s="48"/>
      <c r="BG11" s="48"/>
      <c r="BH11" s="48"/>
      <c r="BI11" s="48"/>
      <c r="BJ11" s="48"/>
      <c r="BK11" s="105"/>
      <c r="BL11" s="106"/>
      <c r="BM11" s="105"/>
      <c r="BN11" s="106"/>
      <c r="BO11" s="105"/>
      <c r="BP11" s="106"/>
      <c r="BQ11" s="48"/>
      <c r="BR11" s="49"/>
      <c r="BS11" s="48"/>
      <c r="BT11" s="63" t="str">
        <f>REPLACE(INDEX(GroupVertices[Group],MATCH(Vertices[[#This Row],[Vertex]],GroupVertices[Vertex],0)),1,1,"")</f>
        <v>6</v>
      </c>
      <c r="BU11" s="138" t="s">
        <v>1400</v>
      </c>
      <c r="BV11" s="48"/>
      <c r="BW11" s="49"/>
      <c r="BX11" s="48"/>
      <c r="BY11" s="49"/>
      <c r="BZ11" s="48"/>
      <c r="CA11" s="49"/>
      <c r="CB11" s="107"/>
      <c r="CC11" s="64"/>
      <c r="CD11" s="64"/>
      <c r="CE11" s="64"/>
      <c r="CF11" s="64"/>
      <c r="CG11" s="64"/>
      <c r="CH11" s="64"/>
      <c r="CI11" s="64"/>
      <c r="CJ11" s="64"/>
      <c r="CK11" s="64"/>
      <c r="CL11" s="64"/>
      <c r="CM11" s="64">
        <v>1.37024502889168E+18</v>
      </c>
      <c r="CN11" s="64"/>
      <c r="CO11" s="64"/>
      <c r="CP11" s="64"/>
      <c r="CQ11" s="64"/>
      <c r="CR11" s="64"/>
      <c r="CS11" s="64"/>
      <c r="CT11" s="64"/>
      <c r="CU11" s="64"/>
      <c r="CV11" s="64"/>
      <c r="CW11" s="64"/>
      <c r="CX11" s="64"/>
      <c r="CY11" s="64"/>
      <c r="CZ11" s="64"/>
      <c r="DA11" s="64"/>
      <c r="DB11" s="64"/>
      <c r="DC11" s="64"/>
      <c r="DD11" s="64"/>
      <c r="DE11" s="64"/>
      <c r="DF11" s="64"/>
      <c r="DG11" s="64"/>
      <c r="DH11" s="64"/>
      <c r="DI11" s="63">
        <v>302126</v>
      </c>
      <c r="DJ11" s="63">
        <v>23</v>
      </c>
      <c r="DK11" s="63" t="b">
        <v>0</v>
      </c>
      <c r="DL11" s="63"/>
      <c r="DM11" s="63"/>
      <c r="DN11" s="63" t="b">
        <v>0</v>
      </c>
      <c r="DO11" s="63" t="b">
        <v>1</v>
      </c>
      <c r="DP11" s="63" t="b">
        <v>0</v>
      </c>
      <c r="DQ11" s="63" t="b">
        <v>0</v>
      </c>
      <c r="DR11" s="63" t="b">
        <v>0</v>
      </c>
      <c r="DS11" s="63"/>
      <c r="DT11" s="63" t="s">
        <v>1687</v>
      </c>
      <c r="DU11" s="63" t="b">
        <v>0</v>
      </c>
      <c r="DV11" s="63"/>
    </row>
    <row r="12" spans="1:126" ht="41.45" customHeight="1">
      <c r="A12" s="62" t="s">
        <v>333</v>
      </c>
      <c r="B12" s="64"/>
      <c r="C12" s="78"/>
      <c r="D12" s="78" t="s">
        <v>64</v>
      </c>
      <c r="E12" s="84">
        <v>162.33899525818512</v>
      </c>
      <c r="F12" s="112">
        <v>99.99876064216534</v>
      </c>
      <c r="G12" s="69" t="str">
        <f>HYPERLINK("https://pbs.twimg.com/profile_images/912667889395798022/pMoB2qc8_normal.jpg")</f>
        <v>https://pbs.twimg.com/profile_images/912667889395798022/pMoB2qc8_normal.jpg</v>
      </c>
      <c r="H12" s="113"/>
      <c r="I12" s="70" t="s">
        <v>333</v>
      </c>
      <c r="J12" s="114"/>
      <c r="K12" s="114"/>
      <c r="L12" s="70" t="s">
        <v>1698</v>
      </c>
      <c r="M12" s="115">
        <v>1.4130366543672916</v>
      </c>
      <c r="N12" s="91">
        <v>1366.8076171875</v>
      </c>
      <c r="O12" s="91">
        <v>2130.23388671875</v>
      </c>
      <c r="P12" s="92"/>
      <c r="Q12" s="93"/>
      <c r="R12" s="93"/>
      <c r="S12" s="116"/>
      <c r="T12" s="48">
        <v>3</v>
      </c>
      <c r="U12" s="48">
        <v>6</v>
      </c>
      <c r="V12" s="49">
        <v>110</v>
      </c>
      <c r="W12" s="49">
        <v>0.132353</v>
      </c>
      <c r="X12" s="49">
        <v>0.000221</v>
      </c>
      <c r="Y12" s="49">
        <v>0.025188</v>
      </c>
      <c r="Z12" s="49">
        <v>0</v>
      </c>
      <c r="AA12" s="49">
        <v>0</v>
      </c>
      <c r="AB12" s="88">
        <v>12</v>
      </c>
      <c r="AC12" s="135"/>
      <c r="AD12" s="89"/>
      <c r="AE12" s="64" t="s">
        <v>1462</v>
      </c>
      <c r="AF12" s="64">
        <v>1446</v>
      </c>
      <c r="AG12" s="64">
        <v>6467</v>
      </c>
      <c r="AH12" s="64">
        <v>167343</v>
      </c>
      <c r="AI12" s="64"/>
      <c r="AJ12" s="64"/>
      <c r="AK12" s="64" t="s">
        <v>1591</v>
      </c>
      <c r="AL12" s="64" t="s">
        <v>1549</v>
      </c>
      <c r="AM12" s="64"/>
      <c r="AN12" s="64"/>
      <c r="AO12" s="110">
        <v>39456.03121527778</v>
      </c>
      <c r="AP12" s="111" t="str">
        <f>HYPERLINK("https://pbs.twimg.com/profile_banners/12006842/1693589509")</f>
        <v>https://pbs.twimg.com/profile_banners/12006842/1693589509</v>
      </c>
      <c r="AQ12" s="64" t="b">
        <v>0</v>
      </c>
      <c r="AR12" s="64" t="b">
        <v>0</v>
      </c>
      <c r="AS12" s="64"/>
      <c r="AT12" s="64"/>
      <c r="AU12" s="64">
        <v>506</v>
      </c>
      <c r="AV12" s="64"/>
      <c r="AW12" s="64" t="b">
        <v>0</v>
      </c>
      <c r="AX12" s="64" t="s">
        <v>1689</v>
      </c>
      <c r="AY12" s="111" t="str">
        <f>HYPERLINK("https://twitter.com/jeremyhl")</f>
        <v>https://twitter.com/jeremyhl</v>
      </c>
      <c r="AZ12" s="104" t="s">
        <v>66</v>
      </c>
      <c r="BA12" s="48" t="s">
        <v>1952</v>
      </c>
      <c r="BB12" s="48" t="s">
        <v>1955</v>
      </c>
      <c r="BC12" s="48" t="s">
        <v>1958</v>
      </c>
      <c r="BD12" s="48" t="s">
        <v>1962</v>
      </c>
      <c r="BE12" s="48" t="s">
        <v>1964</v>
      </c>
      <c r="BF12" s="48" t="s">
        <v>1968</v>
      </c>
      <c r="BG12" s="83" t="s">
        <v>1852</v>
      </c>
      <c r="BH12" s="83" t="s">
        <v>2011</v>
      </c>
      <c r="BI12" s="83" t="s">
        <v>2019</v>
      </c>
      <c r="BJ12" s="83" t="s">
        <v>2019</v>
      </c>
      <c r="BK12" s="105"/>
      <c r="BL12" s="106"/>
      <c r="BM12" s="105"/>
      <c r="BN12" s="106"/>
      <c r="BO12" s="105"/>
      <c r="BP12" s="106"/>
      <c r="BQ12" s="48">
        <v>313</v>
      </c>
      <c r="BR12" s="49">
        <v>64.40329218106996</v>
      </c>
      <c r="BS12" s="48">
        <v>486</v>
      </c>
      <c r="BT12" s="63" t="str">
        <f>REPLACE(INDEX(GroupVertices[Group],MATCH(Vertices[[#This Row],[Vertex]],GroupVertices[Vertex],0)),1,1,"")</f>
        <v>2</v>
      </c>
      <c r="BU12" s="138" t="s">
        <v>1523</v>
      </c>
      <c r="BV12" s="48">
        <v>0</v>
      </c>
      <c r="BW12" s="49">
        <v>0</v>
      </c>
      <c r="BX12" s="48">
        <v>0</v>
      </c>
      <c r="BY12" s="49">
        <v>0</v>
      </c>
      <c r="BZ12" s="48">
        <v>0</v>
      </c>
      <c r="CA12" s="49">
        <v>0</v>
      </c>
      <c r="CB12" s="107"/>
      <c r="CC12" s="64"/>
      <c r="CD12" s="111" t="str">
        <f>HYPERLINK("https://t.co/FXF8LWikG0")</f>
        <v>https://t.co/FXF8LWikG0</v>
      </c>
      <c r="CE12" s="111" t="str">
        <f>HYPERLINK("https://amzn.to/3DHnuRf")</f>
        <v>https://amzn.to/3DHnuRf</v>
      </c>
      <c r="CF12" s="64" t="s">
        <v>1643</v>
      </c>
      <c r="CG12" s="111" t="str">
        <f>HYPERLINK("https://t.co/AXr4S186OC")</f>
        <v>https://t.co/AXr4S186OC</v>
      </c>
      <c r="CH12" s="111" t="str">
        <f>HYPERLINK("http://amzn.to/2UaIVcv")</f>
        <v>http://amzn.to/2UaIVcv</v>
      </c>
      <c r="CI12" s="64" t="s">
        <v>1676</v>
      </c>
      <c r="CJ12" s="64"/>
      <c r="CK12" s="64"/>
      <c r="CL12" s="64"/>
      <c r="CM12" s="64">
        <v>1.68135640857337E+18</v>
      </c>
      <c r="CN12" s="111" t="str">
        <f>HYPERLINK("https://t.co/FXF8LWikG0")</f>
        <v>https://t.co/FXF8LWikG0</v>
      </c>
      <c r="CO12" s="64"/>
      <c r="CP12" s="64"/>
      <c r="CQ12" s="64"/>
      <c r="CR12" s="64"/>
      <c r="CS12" s="64"/>
      <c r="CT12" s="64"/>
      <c r="CU12" s="64"/>
      <c r="CV12" s="64"/>
      <c r="CW12" s="64"/>
      <c r="CX12" s="64"/>
      <c r="CY12" s="64"/>
      <c r="CZ12" s="64"/>
      <c r="DA12" s="64"/>
      <c r="DB12" s="64"/>
      <c r="DC12" s="64"/>
      <c r="DD12" s="64"/>
      <c r="DE12" s="64"/>
      <c r="DF12" s="64"/>
      <c r="DG12" s="64"/>
      <c r="DH12" s="64"/>
      <c r="DI12" s="63">
        <v>49361</v>
      </c>
      <c r="DJ12" s="63">
        <v>19517</v>
      </c>
      <c r="DK12" s="63" t="b">
        <v>1</v>
      </c>
      <c r="DL12" s="63" t="b">
        <v>1</v>
      </c>
      <c r="DM12" s="63" t="b">
        <v>1</v>
      </c>
      <c r="DN12" s="63" t="b">
        <v>1</v>
      </c>
      <c r="DO12" s="63" t="b">
        <v>1</v>
      </c>
      <c r="DP12" s="63" t="b">
        <v>1</v>
      </c>
      <c r="DQ12" s="63" t="b">
        <v>0</v>
      </c>
      <c r="DR12" s="63" t="b">
        <v>0</v>
      </c>
      <c r="DS12" s="63"/>
      <c r="DT12" s="63" t="s">
        <v>1687</v>
      </c>
      <c r="DU12" s="63" t="b">
        <v>1</v>
      </c>
      <c r="DV12" s="63"/>
    </row>
    <row r="13" spans="1:126" ht="41.45" customHeight="1">
      <c r="A13" s="62" t="s">
        <v>904</v>
      </c>
      <c r="B13" s="64"/>
      <c r="C13" s="78"/>
      <c r="D13" s="78" t="s">
        <v>64</v>
      </c>
      <c r="E13" s="84">
        <v>162.00566127847287</v>
      </c>
      <c r="F13" s="112">
        <v>99.99997930251335</v>
      </c>
      <c r="G13" s="69" t="str">
        <f>HYPERLINK("https://pbs.twimg.com/profile_images/1652982039820288000/rb6SOCqo_normal.jpg")</f>
        <v>https://pbs.twimg.com/profile_images/1652982039820288000/rb6SOCqo_normal.jpg</v>
      </c>
      <c r="H13" s="113"/>
      <c r="I13" s="70" t="s">
        <v>904</v>
      </c>
      <c r="J13" s="114"/>
      <c r="K13" s="114"/>
      <c r="L13" s="70" t="s">
        <v>1699</v>
      </c>
      <c r="M13" s="115">
        <v>1.0068977823831247</v>
      </c>
      <c r="N13" s="91">
        <v>6398.07373046875</v>
      </c>
      <c r="O13" s="91">
        <v>3298.28125</v>
      </c>
      <c r="P13" s="92"/>
      <c r="Q13" s="93"/>
      <c r="R13" s="93"/>
      <c r="S13" s="116"/>
      <c r="T13" s="48">
        <v>1</v>
      </c>
      <c r="U13" s="48">
        <v>1</v>
      </c>
      <c r="V13" s="49">
        <v>2</v>
      </c>
      <c r="W13" s="49">
        <v>0.03125</v>
      </c>
      <c r="X13" s="49">
        <v>0</v>
      </c>
      <c r="Y13" s="49">
        <v>0.017391</v>
      </c>
      <c r="Z13" s="49">
        <v>0</v>
      </c>
      <c r="AA13" s="49">
        <v>0</v>
      </c>
      <c r="AB13" s="88">
        <v>13</v>
      </c>
      <c r="AC13" s="135"/>
      <c r="AD13" s="89"/>
      <c r="AE13" s="64" t="s">
        <v>1463</v>
      </c>
      <c r="AF13" s="64">
        <v>96</v>
      </c>
      <c r="AG13" s="64">
        <v>108</v>
      </c>
      <c r="AH13" s="64">
        <v>137</v>
      </c>
      <c r="AI13" s="64"/>
      <c r="AJ13" s="64"/>
      <c r="AK13" s="64" t="s">
        <v>1592</v>
      </c>
      <c r="AL13" s="64"/>
      <c r="AM13" s="64"/>
      <c r="AN13" s="64"/>
      <c r="AO13" s="110">
        <v>42311.82674768518</v>
      </c>
      <c r="AP13" s="111" t="str">
        <f>HYPERLINK("https://pbs.twimg.com/profile_banners/4106793329/1682936615")</f>
        <v>https://pbs.twimg.com/profile_banners/4106793329/1682936615</v>
      </c>
      <c r="AQ13" s="64" t="b">
        <v>1</v>
      </c>
      <c r="AR13" s="64" t="b">
        <v>0</v>
      </c>
      <c r="AS13" s="64"/>
      <c r="AT13" s="64"/>
      <c r="AU13" s="64">
        <v>0</v>
      </c>
      <c r="AV13" s="64"/>
      <c r="AW13" s="64" t="b">
        <v>0</v>
      </c>
      <c r="AX13" s="64" t="s">
        <v>1689</v>
      </c>
      <c r="AY13" s="111" t="str">
        <f>HYPERLINK("https://twitter.com/louiselyons_")</f>
        <v>https://twitter.com/louiselyons_</v>
      </c>
      <c r="AZ13" s="104" t="s">
        <v>66</v>
      </c>
      <c r="BA13" s="48"/>
      <c r="BB13" s="48"/>
      <c r="BC13" s="48"/>
      <c r="BD13" s="48"/>
      <c r="BE13" s="48"/>
      <c r="BF13" s="48"/>
      <c r="BG13" s="83" t="s">
        <v>1857</v>
      </c>
      <c r="BH13" s="83" t="s">
        <v>1857</v>
      </c>
      <c r="BI13" s="83" t="s">
        <v>2020</v>
      </c>
      <c r="BJ13" s="83" t="s">
        <v>2020</v>
      </c>
      <c r="BK13" s="105"/>
      <c r="BL13" s="106"/>
      <c r="BM13" s="105"/>
      <c r="BN13" s="106"/>
      <c r="BO13" s="105"/>
      <c r="BP13" s="106"/>
      <c r="BQ13" s="48">
        <v>12</v>
      </c>
      <c r="BR13" s="49">
        <v>66.66666666666667</v>
      </c>
      <c r="BS13" s="48">
        <v>18</v>
      </c>
      <c r="BT13" s="63" t="str">
        <f>REPLACE(INDEX(GroupVertices[Group],MATCH(Vertices[[#This Row],[Vertex]],GroupVertices[Vertex],0)),1,1,"")</f>
        <v>8</v>
      </c>
      <c r="BU13" s="138" t="s">
        <v>1524</v>
      </c>
      <c r="BV13" s="48">
        <v>0</v>
      </c>
      <c r="BW13" s="49">
        <v>0</v>
      </c>
      <c r="BX13" s="48">
        <v>0</v>
      </c>
      <c r="BY13" s="49">
        <v>0</v>
      </c>
      <c r="BZ13" s="48">
        <v>0</v>
      </c>
      <c r="CA13" s="49">
        <v>0</v>
      </c>
      <c r="CB13" s="107"/>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3">
        <v>69</v>
      </c>
      <c r="DJ13" s="63">
        <v>3</v>
      </c>
      <c r="DK13" s="63" t="b">
        <v>0</v>
      </c>
      <c r="DL13" s="63"/>
      <c r="DM13" s="63"/>
      <c r="DN13" s="63" t="b">
        <v>0</v>
      </c>
      <c r="DO13" s="63" t="b">
        <v>1</v>
      </c>
      <c r="DP13" s="63" t="b">
        <v>0</v>
      </c>
      <c r="DQ13" s="63" t="b">
        <v>0</v>
      </c>
      <c r="DR13" s="63" t="b">
        <v>0</v>
      </c>
      <c r="DS13" s="63"/>
      <c r="DT13" s="63" t="s">
        <v>1687</v>
      </c>
      <c r="DU13" s="63" t="b">
        <v>0</v>
      </c>
      <c r="DV13" s="63"/>
    </row>
    <row r="14" spans="1:126" ht="41.45" customHeight="1">
      <c r="A14" s="62" t="s">
        <v>944</v>
      </c>
      <c r="B14" s="64"/>
      <c r="C14" s="78"/>
      <c r="D14" s="78" t="s">
        <v>64</v>
      </c>
      <c r="E14" s="84">
        <v>162.03669347158336</v>
      </c>
      <c r="F14" s="112">
        <v>99.99986584962359</v>
      </c>
      <c r="G14" s="69" t="str">
        <f>HYPERLINK("https://pbs.twimg.com/profile_images/1663468196014305280/n_5cCBx0_normal.jpg")</f>
        <v>https://pbs.twimg.com/profile_images/1663468196014305280/n_5cCBx0_normal.jpg</v>
      </c>
      <c r="H14" s="113"/>
      <c r="I14" s="70" t="s">
        <v>944</v>
      </c>
      <c r="J14" s="114"/>
      <c r="K14" s="114"/>
      <c r="L14" s="70" t="s">
        <v>1700</v>
      </c>
      <c r="M14" s="115">
        <v>1.044707848779512</v>
      </c>
      <c r="N14" s="91">
        <v>6398.07373046875</v>
      </c>
      <c r="O14" s="91">
        <v>2603.90625</v>
      </c>
      <c r="P14" s="92"/>
      <c r="Q14" s="93"/>
      <c r="R14" s="93"/>
      <c r="S14" s="116"/>
      <c r="T14" s="48">
        <v>1</v>
      </c>
      <c r="U14" s="48">
        <v>0</v>
      </c>
      <c r="V14" s="49">
        <v>0</v>
      </c>
      <c r="W14" s="49">
        <v>0.020833</v>
      </c>
      <c r="X14" s="49">
        <v>0</v>
      </c>
      <c r="Y14" s="49">
        <v>0.014381</v>
      </c>
      <c r="Z14" s="49">
        <v>0</v>
      </c>
      <c r="AA14" s="49">
        <v>0</v>
      </c>
      <c r="AB14" s="88">
        <v>14</v>
      </c>
      <c r="AC14" s="135"/>
      <c r="AD14" s="89"/>
      <c r="AE14" s="64" t="s">
        <v>1464</v>
      </c>
      <c r="AF14" s="64">
        <v>652</v>
      </c>
      <c r="AG14" s="64">
        <v>700</v>
      </c>
      <c r="AH14" s="64">
        <v>1221</v>
      </c>
      <c r="AI14" s="64"/>
      <c r="AJ14" s="64"/>
      <c r="AK14" s="64" t="s">
        <v>1593</v>
      </c>
      <c r="AL14" s="64" t="s">
        <v>1550</v>
      </c>
      <c r="AM14" s="64"/>
      <c r="AN14" s="64"/>
      <c r="AO14" s="110">
        <v>43552.69730324074</v>
      </c>
      <c r="AP14" s="111" t="str">
        <f>HYPERLINK("https://pbs.twimg.com/profile_banners/1111307993881165829/1685436686")</f>
        <v>https://pbs.twimg.com/profile_banners/1111307993881165829/1685436686</v>
      </c>
      <c r="AQ14" s="64" t="b">
        <v>1</v>
      </c>
      <c r="AR14" s="64" t="b">
        <v>0</v>
      </c>
      <c r="AS14" s="64"/>
      <c r="AT14" s="64"/>
      <c r="AU14" s="64">
        <v>0</v>
      </c>
      <c r="AV14" s="64"/>
      <c r="AW14" s="64" t="b">
        <v>0</v>
      </c>
      <c r="AX14" s="64" t="s">
        <v>1689</v>
      </c>
      <c r="AY14" s="111" t="str">
        <f>HYPERLINK("https://twitter.com/antothenio")</f>
        <v>https://twitter.com/antothenio</v>
      </c>
      <c r="AZ14" s="104" t="s">
        <v>65</v>
      </c>
      <c r="BA14" s="48"/>
      <c r="BB14" s="48"/>
      <c r="BC14" s="48"/>
      <c r="BD14" s="48"/>
      <c r="BE14" s="48"/>
      <c r="BF14" s="48"/>
      <c r="BG14" s="48"/>
      <c r="BH14" s="48"/>
      <c r="BI14" s="48"/>
      <c r="BJ14" s="48"/>
      <c r="BK14" s="105"/>
      <c r="BL14" s="106"/>
      <c r="BM14" s="105"/>
      <c r="BN14" s="106"/>
      <c r="BO14" s="105"/>
      <c r="BP14" s="106"/>
      <c r="BQ14" s="48"/>
      <c r="BR14" s="49"/>
      <c r="BS14" s="48"/>
      <c r="BT14" s="63" t="str">
        <f>REPLACE(INDEX(GroupVertices[Group],MATCH(Vertices[[#This Row],[Vertex]],GroupVertices[Vertex],0)),1,1,"")</f>
        <v>8</v>
      </c>
      <c r="BU14" s="138" t="s">
        <v>1525</v>
      </c>
      <c r="BV14" s="48"/>
      <c r="BW14" s="49"/>
      <c r="BX14" s="48"/>
      <c r="BY14" s="49"/>
      <c r="BZ14" s="48"/>
      <c r="CA14" s="49"/>
      <c r="CB14" s="107"/>
      <c r="CC14" s="64"/>
      <c r="CD14" s="111" t="str">
        <f>HYPERLINK("https://t.co/gyX1NxrBQS")</f>
        <v>https://t.co/gyX1NxrBQS</v>
      </c>
      <c r="CE14" s="111" t="str">
        <f>HYPERLINK("https://linktr.ee/theantonio")</f>
        <v>https://linktr.ee/theantonio</v>
      </c>
      <c r="CF14" s="64" t="s">
        <v>1644</v>
      </c>
      <c r="CG14" s="111" t="str">
        <f>HYPERLINK("https://t.co/2ytQaFKQBu")</f>
        <v>https://t.co/2ytQaFKQBu</v>
      </c>
      <c r="CH14" s="111" t="str">
        <f>HYPERLINK("http://hearmespeak.co.uk/get-involved")</f>
        <v>http://hearmespeak.co.uk/get-involved</v>
      </c>
      <c r="CI14" s="64" t="s">
        <v>1677</v>
      </c>
      <c r="CJ14" s="64"/>
      <c r="CK14" s="64"/>
      <c r="CL14" s="64"/>
      <c r="CM14" s="64">
        <v>1.68026187915369E+18</v>
      </c>
      <c r="CN14" s="111" t="str">
        <f>HYPERLINK("https://t.co/gyX1NxrBQS")</f>
        <v>https://t.co/gyX1NxrBQS</v>
      </c>
      <c r="CO14" s="64"/>
      <c r="CP14" s="64"/>
      <c r="CQ14" s="64"/>
      <c r="CR14" s="64"/>
      <c r="CS14" s="64"/>
      <c r="CT14" s="64"/>
      <c r="CU14" s="64"/>
      <c r="CV14" s="64"/>
      <c r="CW14" s="64"/>
      <c r="CX14" s="64"/>
      <c r="CY14" s="64"/>
      <c r="CZ14" s="64"/>
      <c r="DA14" s="64"/>
      <c r="DB14" s="64"/>
      <c r="DC14" s="64"/>
      <c r="DD14" s="64"/>
      <c r="DE14" s="64"/>
      <c r="DF14" s="64"/>
      <c r="DG14" s="64"/>
      <c r="DH14" s="64"/>
      <c r="DI14" s="63">
        <v>1436</v>
      </c>
      <c r="DJ14" s="63">
        <v>63</v>
      </c>
      <c r="DK14" s="63" t="b">
        <v>0</v>
      </c>
      <c r="DL14" s="63"/>
      <c r="DM14" s="63"/>
      <c r="DN14" s="63" t="b">
        <v>0</v>
      </c>
      <c r="DO14" s="63" t="b">
        <v>1</v>
      </c>
      <c r="DP14" s="63" t="b">
        <v>1</v>
      </c>
      <c r="DQ14" s="63" t="b">
        <v>0</v>
      </c>
      <c r="DR14" s="63" t="b">
        <v>0</v>
      </c>
      <c r="DS14" s="63"/>
      <c r="DT14" s="63" t="s">
        <v>1687</v>
      </c>
      <c r="DU14" s="63" t="b">
        <v>0</v>
      </c>
      <c r="DV14" s="63"/>
    </row>
    <row r="15" spans="1:126" ht="41.45" customHeight="1">
      <c r="A15" s="62" t="s">
        <v>905</v>
      </c>
      <c r="B15" s="64"/>
      <c r="C15" s="78"/>
      <c r="D15" s="78" t="s">
        <v>64</v>
      </c>
      <c r="E15" s="84">
        <v>162.00366934715834</v>
      </c>
      <c r="F15" s="112">
        <v>99.99998658496236</v>
      </c>
      <c r="G15" s="69" t="str">
        <f>HYPERLINK("https://pbs.twimg.com/profile_images/1441289435098664968/xv2yuq4U_normal.jpg")</f>
        <v>https://pbs.twimg.com/profile_images/1441289435098664968/xv2yuq4U_normal.jpg</v>
      </c>
      <c r="H15" s="113"/>
      <c r="I15" s="70" t="s">
        <v>905</v>
      </c>
      <c r="J15" s="114"/>
      <c r="K15" s="114"/>
      <c r="L15" s="70" t="s">
        <v>1701</v>
      </c>
      <c r="M15" s="115">
        <v>1.0044707848779513</v>
      </c>
      <c r="N15" s="91">
        <v>9114.84375</v>
      </c>
      <c r="O15" s="91">
        <v>1757.63671875</v>
      </c>
      <c r="P15" s="92"/>
      <c r="Q15" s="93"/>
      <c r="R15" s="93"/>
      <c r="S15" s="116"/>
      <c r="T15" s="48">
        <v>0</v>
      </c>
      <c r="U15" s="48">
        <v>1</v>
      </c>
      <c r="V15" s="49">
        <v>0</v>
      </c>
      <c r="W15" s="49">
        <v>0.015625</v>
      </c>
      <c r="X15" s="49">
        <v>0</v>
      </c>
      <c r="Y15" s="49">
        <v>0.015385</v>
      </c>
      <c r="Z15" s="49">
        <v>0</v>
      </c>
      <c r="AA15" s="49">
        <v>0</v>
      </c>
      <c r="AB15" s="88">
        <v>15</v>
      </c>
      <c r="AC15" s="135"/>
      <c r="AD15" s="89"/>
      <c r="AE15" s="64" t="s">
        <v>1465</v>
      </c>
      <c r="AF15" s="64">
        <v>917</v>
      </c>
      <c r="AG15" s="64">
        <v>70</v>
      </c>
      <c r="AH15" s="64">
        <v>77</v>
      </c>
      <c r="AI15" s="64"/>
      <c r="AJ15" s="64"/>
      <c r="AK15" s="64" t="s">
        <v>1594</v>
      </c>
      <c r="AL15" s="64"/>
      <c r="AM15" s="64"/>
      <c r="AN15" s="64"/>
      <c r="AO15" s="110">
        <v>44462.63518518519</v>
      </c>
      <c r="AP15" s="64"/>
      <c r="AQ15" s="64" t="b">
        <v>1</v>
      </c>
      <c r="AR15" s="64" t="b">
        <v>0</v>
      </c>
      <c r="AS15" s="64"/>
      <c r="AT15" s="64"/>
      <c r="AU15" s="64">
        <v>4</v>
      </c>
      <c r="AV15" s="64"/>
      <c r="AW15" s="64" t="b">
        <v>0</v>
      </c>
      <c r="AX15" s="64" t="s">
        <v>1689</v>
      </c>
      <c r="AY15" s="111" t="str">
        <f>HYPERLINK("https://twitter.com/jeremyl75946562")</f>
        <v>https://twitter.com/jeremyl75946562</v>
      </c>
      <c r="AZ15" s="104" t="s">
        <v>66</v>
      </c>
      <c r="BA15" s="48"/>
      <c r="BB15" s="48"/>
      <c r="BC15" s="48"/>
      <c r="BD15" s="48"/>
      <c r="BE15" s="48"/>
      <c r="BF15" s="48"/>
      <c r="BG15" s="83" t="s">
        <v>1976</v>
      </c>
      <c r="BH15" s="83" t="s">
        <v>1976</v>
      </c>
      <c r="BI15" s="83" t="s">
        <v>2021</v>
      </c>
      <c r="BJ15" s="83" t="s">
        <v>2021</v>
      </c>
      <c r="BK15" s="105"/>
      <c r="BL15" s="106"/>
      <c r="BM15" s="105"/>
      <c r="BN15" s="106"/>
      <c r="BO15" s="105"/>
      <c r="BP15" s="106"/>
      <c r="BQ15" s="48">
        <v>2</v>
      </c>
      <c r="BR15" s="49">
        <v>100</v>
      </c>
      <c r="BS15" s="48">
        <v>2</v>
      </c>
      <c r="BT15" s="63" t="str">
        <f>REPLACE(INDEX(GroupVertices[Group],MATCH(Vertices[[#This Row],[Vertex]],GroupVertices[Vertex],0)),1,1,"")</f>
        <v>11</v>
      </c>
      <c r="BU15" s="138" t="s">
        <v>1424</v>
      </c>
      <c r="BV15" s="48">
        <v>0</v>
      </c>
      <c r="BW15" s="49">
        <v>0</v>
      </c>
      <c r="BX15" s="48">
        <v>0</v>
      </c>
      <c r="BY15" s="49">
        <v>0</v>
      </c>
      <c r="BZ15" s="48">
        <v>0</v>
      </c>
      <c r="CA15" s="49">
        <v>0</v>
      </c>
      <c r="CB15" s="107"/>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3">
        <v>201</v>
      </c>
      <c r="DJ15" s="63">
        <v>0</v>
      </c>
      <c r="DK15" s="63" t="b">
        <v>0</v>
      </c>
      <c r="DL15" s="63"/>
      <c r="DM15" s="63"/>
      <c r="DN15" s="63" t="b">
        <v>1</v>
      </c>
      <c r="DO15" s="63" t="b">
        <v>1</v>
      </c>
      <c r="DP15" s="63" t="b">
        <v>0</v>
      </c>
      <c r="DQ15" s="63" t="b">
        <v>0</v>
      </c>
      <c r="DR15" s="63" t="b">
        <v>0</v>
      </c>
      <c r="DS15" s="63"/>
      <c r="DT15" s="63" t="s">
        <v>1687</v>
      </c>
      <c r="DU15" s="63" t="b">
        <v>0</v>
      </c>
      <c r="DV15" s="63"/>
    </row>
    <row r="16" spans="1:126" ht="41.45" customHeight="1">
      <c r="A16" s="62" t="s">
        <v>945</v>
      </c>
      <c r="B16" s="64"/>
      <c r="C16" s="78"/>
      <c r="D16" s="78" t="s">
        <v>64</v>
      </c>
      <c r="E16" s="84">
        <v>162.23939869245885</v>
      </c>
      <c r="F16" s="112">
        <v>99.9991247646156</v>
      </c>
      <c r="G16" s="69" t="str">
        <f>HYPERLINK("https://pbs.twimg.com/profile_images/1661398699623452673/CNilc23H_normal.jpg")</f>
        <v>https://pbs.twimg.com/profile_images/1661398699623452673/CNilc23H_normal.jpg</v>
      </c>
      <c r="H16" s="113"/>
      <c r="I16" s="70" t="s">
        <v>945</v>
      </c>
      <c r="J16" s="114"/>
      <c r="K16" s="114"/>
      <c r="L16" s="70" t="s">
        <v>1702</v>
      </c>
      <c r="M16" s="115">
        <v>1.2916867791086162</v>
      </c>
      <c r="N16" s="91">
        <v>9114.84375</v>
      </c>
      <c r="O16" s="91">
        <v>933.06640625</v>
      </c>
      <c r="P16" s="92"/>
      <c r="Q16" s="93"/>
      <c r="R16" s="93"/>
      <c r="S16" s="116"/>
      <c r="T16" s="48">
        <v>1</v>
      </c>
      <c r="U16" s="48">
        <v>0</v>
      </c>
      <c r="V16" s="49">
        <v>0</v>
      </c>
      <c r="W16" s="49">
        <v>0.015625</v>
      </c>
      <c r="X16" s="49">
        <v>0</v>
      </c>
      <c r="Y16" s="49">
        <v>0.015385</v>
      </c>
      <c r="Z16" s="49">
        <v>0</v>
      </c>
      <c r="AA16" s="49">
        <v>0</v>
      </c>
      <c r="AB16" s="88">
        <v>16</v>
      </c>
      <c r="AC16" s="135"/>
      <c r="AD16" s="89"/>
      <c r="AE16" s="64" t="s">
        <v>1466</v>
      </c>
      <c r="AF16" s="64">
        <v>7</v>
      </c>
      <c r="AG16" s="64">
        <v>4567</v>
      </c>
      <c r="AH16" s="64">
        <v>32</v>
      </c>
      <c r="AI16" s="64"/>
      <c r="AJ16" s="64"/>
      <c r="AK16" s="64" t="s">
        <v>1595</v>
      </c>
      <c r="AL16" s="64"/>
      <c r="AM16" s="64"/>
      <c r="AN16" s="64"/>
      <c r="AO16" s="110">
        <v>44801.824907407405</v>
      </c>
      <c r="AP16" s="111" t="str">
        <f>HYPERLINK("https://pbs.twimg.com/profile_banners/1563976507697299456/1686990869")</f>
        <v>https://pbs.twimg.com/profile_banners/1563976507697299456/1686990869</v>
      </c>
      <c r="AQ16" s="64" t="b">
        <v>1</v>
      </c>
      <c r="AR16" s="64" t="b">
        <v>0</v>
      </c>
      <c r="AS16" s="64"/>
      <c r="AT16" s="64"/>
      <c r="AU16" s="64">
        <v>4</v>
      </c>
      <c r="AV16" s="64"/>
      <c r="AW16" s="64" t="b">
        <v>0</v>
      </c>
      <c r="AX16" s="64" t="s">
        <v>1689</v>
      </c>
      <c r="AY16" s="111" t="str">
        <f>HYPERLINK("https://twitter.com/g29cie3xev6p0yu")</f>
        <v>https://twitter.com/g29cie3xev6p0yu</v>
      </c>
      <c r="AZ16" s="104" t="s">
        <v>65</v>
      </c>
      <c r="BA16" s="48"/>
      <c r="BB16" s="48"/>
      <c r="BC16" s="48"/>
      <c r="BD16" s="48"/>
      <c r="BE16" s="48"/>
      <c r="BF16" s="48"/>
      <c r="BG16" s="48"/>
      <c r="BH16" s="48"/>
      <c r="BI16" s="48"/>
      <c r="BJ16" s="48"/>
      <c r="BK16" s="105"/>
      <c r="BL16" s="106"/>
      <c r="BM16" s="105"/>
      <c r="BN16" s="106"/>
      <c r="BO16" s="105"/>
      <c r="BP16" s="106"/>
      <c r="BQ16" s="48"/>
      <c r="BR16" s="49"/>
      <c r="BS16" s="48"/>
      <c r="BT16" s="63" t="str">
        <f>REPLACE(INDEX(GroupVertices[Group],MATCH(Vertices[[#This Row],[Vertex]],GroupVertices[Vertex],0)),1,1,"")</f>
        <v>11</v>
      </c>
      <c r="BU16" s="138" t="s">
        <v>1401</v>
      </c>
      <c r="BV16" s="48"/>
      <c r="BW16" s="49"/>
      <c r="BX16" s="48"/>
      <c r="BY16" s="49"/>
      <c r="BZ16" s="48"/>
      <c r="CA16" s="49"/>
      <c r="CB16" s="107"/>
      <c r="CC16" s="64"/>
      <c r="CD16" s="64"/>
      <c r="CE16" s="64"/>
      <c r="CF16" s="64"/>
      <c r="CG16" s="64"/>
      <c r="CH16" s="64"/>
      <c r="CI16" s="64"/>
      <c r="CJ16" s="64"/>
      <c r="CK16" s="64"/>
      <c r="CL16" s="64"/>
      <c r="CM16" s="64">
        <v>1.668797533379E+18</v>
      </c>
      <c r="CN16" s="64"/>
      <c r="CO16" s="64"/>
      <c r="CP16" s="64"/>
      <c r="CQ16" s="64"/>
      <c r="CR16" s="64"/>
      <c r="CS16" s="64"/>
      <c r="CT16" s="64"/>
      <c r="CU16" s="64"/>
      <c r="CV16" s="64"/>
      <c r="CW16" s="64"/>
      <c r="CX16" s="64"/>
      <c r="CY16" s="64"/>
      <c r="CZ16" s="64"/>
      <c r="DA16" s="64"/>
      <c r="DB16" s="64"/>
      <c r="DC16" s="64"/>
      <c r="DD16" s="64"/>
      <c r="DE16" s="64"/>
      <c r="DF16" s="64"/>
      <c r="DG16" s="64"/>
      <c r="DH16" s="64"/>
      <c r="DI16" s="63">
        <v>68</v>
      </c>
      <c r="DJ16" s="63">
        <v>31</v>
      </c>
      <c r="DK16" s="63" t="b">
        <v>0</v>
      </c>
      <c r="DL16" s="63"/>
      <c r="DM16" s="63"/>
      <c r="DN16" s="63" t="b">
        <v>1</v>
      </c>
      <c r="DO16" s="63" t="b">
        <v>1</v>
      </c>
      <c r="DP16" s="63" t="b">
        <v>0</v>
      </c>
      <c r="DQ16" s="63" t="b">
        <v>0</v>
      </c>
      <c r="DR16" s="63" t="b">
        <v>1</v>
      </c>
      <c r="DS16" s="63"/>
      <c r="DT16" s="63" t="s">
        <v>1687</v>
      </c>
      <c r="DU16" s="63" t="b">
        <v>0</v>
      </c>
      <c r="DV16" s="63"/>
    </row>
    <row r="17" spans="1:126" ht="41.45" customHeight="1">
      <c r="A17" s="62" t="s">
        <v>906</v>
      </c>
      <c r="B17" s="64"/>
      <c r="C17" s="78"/>
      <c r="D17" s="78" t="s">
        <v>64</v>
      </c>
      <c r="E17" s="84">
        <v>162.0030403162169</v>
      </c>
      <c r="F17" s="112">
        <v>99.99998888468309</v>
      </c>
      <c r="G17" s="69" t="str">
        <f>HYPERLINK("https://pbs.twimg.com/profile_images/1390424385509601283/lkN-bziw_normal.jpg")</f>
        <v>https://pbs.twimg.com/profile_images/1390424385509601283/lkN-bziw_normal.jpg</v>
      </c>
      <c r="H17" s="113"/>
      <c r="I17" s="70" t="s">
        <v>906</v>
      </c>
      <c r="J17" s="114"/>
      <c r="K17" s="114"/>
      <c r="L17" s="70" t="s">
        <v>1703</v>
      </c>
      <c r="M17" s="115">
        <v>1.0037043646131596</v>
      </c>
      <c r="N17" s="91">
        <v>8369.7685546875</v>
      </c>
      <c r="O17" s="91">
        <v>8313.5830078125</v>
      </c>
      <c r="P17" s="92"/>
      <c r="Q17" s="93"/>
      <c r="R17" s="93"/>
      <c r="S17" s="116"/>
      <c r="T17" s="48">
        <v>0</v>
      </c>
      <c r="U17" s="48">
        <v>5</v>
      </c>
      <c r="V17" s="49">
        <v>20</v>
      </c>
      <c r="W17" s="49">
        <v>0.078125</v>
      </c>
      <c r="X17" s="49">
        <v>0</v>
      </c>
      <c r="Y17" s="49">
        <v>0.023412</v>
      </c>
      <c r="Z17" s="49">
        <v>0</v>
      </c>
      <c r="AA17" s="49">
        <v>0</v>
      </c>
      <c r="AB17" s="88">
        <v>17</v>
      </c>
      <c r="AC17" s="135"/>
      <c r="AD17" s="89"/>
      <c r="AE17" s="64" t="s">
        <v>1467</v>
      </c>
      <c r="AF17" s="64">
        <v>285</v>
      </c>
      <c r="AG17" s="64">
        <v>58</v>
      </c>
      <c r="AH17" s="64">
        <v>469</v>
      </c>
      <c r="AI17" s="64"/>
      <c r="AJ17" s="64"/>
      <c r="AK17" s="64" t="s">
        <v>1596</v>
      </c>
      <c r="AL17" s="64"/>
      <c r="AM17" s="64"/>
      <c r="AN17" s="64"/>
      <c r="AO17" s="110">
        <v>43928.47638888889</v>
      </c>
      <c r="AP17" s="64"/>
      <c r="AQ17" s="64" t="b">
        <v>1</v>
      </c>
      <c r="AR17" s="64" t="b">
        <v>0</v>
      </c>
      <c r="AS17" s="64"/>
      <c r="AT17" s="64"/>
      <c r="AU17" s="64">
        <v>1</v>
      </c>
      <c r="AV17" s="64"/>
      <c r="AW17" s="64" t="b">
        <v>0</v>
      </c>
      <c r="AX17" s="64" t="s">
        <v>1689</v>
      </c>
      <c r="AY17" s="111" t="str">
        <f>HYPERLINK("https://twitter.com/jeremyl72410226")</f>
        <v>https://twitter.com/jeremyl72410226</v>
      </c>
      <c r="AZ17" s="104" t="s">
        <v>66</v>
      </c>
      <c r="BA17" s="48"/>
      <c r="BB17" s="48"/>
      <c r="BC17" s="48"/>
      <c r="BD17" s="48"/>
      <c r="BE17" s="48"/>
      <c r="BF17" s="48"/>
      <c r="BG17" s="83" t="s">
        <v>1977</v>
      </c>
      <c r="BH17" s="83" t="s">
        <v>1977</v>
      </c>
      <c r="BI17" s="83" t="s">
        <v>2022</v>
      </c>
      <c r="BJ17" s="83" t="s">
        <v>2022</v>
      </c>
      <c r="BK17" s="105"/>
      <c r="BL17" s="106"/>
      <c r="BM17" s="105"/>
      <c r="BN17" s="106"/>
      <c r="BO17" s="105"/>
      <c r="BP17" s="106"/>
      <c r="BQ17" s="48">
        <v>10</v>
      </c>
      <c r="BR17" s="49">
        <v>100</v>
      </c>
      <c r="BS17" s="48">
        <v>10</v>
      </c>
      <c r="BT17" s="63" t="str">
        <f>REPLACE(INDEX(GroupVertices[Group],MATCH(Vertices[[#This Row],[Vertex]],GroupVertices[Vertex],0)),1,1,"")</f>
        <v>5</v>
      </c>
      <c r="BU17" s="138" t="s">
        <v>1425</v>
      </c>
      <c r="BV17" s="48">
        <v>0</v>
      </c>
      <c r="BW17" s="49">
        <v>0</v>
      </c>
      <c r="BX17" s="48">
        <v>0</v>
      </c>
      <c r="BY17" s="49">
        <v>0</v>
      </c>
      <c r="BZ17" s="48">
        <v>0</v>
      </c>
      <c r="CA17" s="49">
        <v>0</v>
      </c>
      <c r="CB17" s="107"/>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3">
        <v>230</v>
      </c>
      <c r="DJ17" s="63">
        <v>2</v>
      </c>
      <c r="DK17" s="63" t="b">
        <v>0</v>
      </c>
      <c r="DL17" s="63"/>
      <c r="DM17" s="63"/>
      <c r="DN17" s="63" t="b">
        <v>0</v>
      </c>
      <c r="DO17" s="63" t="b">
        <v>1</v>
      </c>
      <c r="DP17" s="63" t="b">
        <v>1</v>
      </c>
      <c r="DQ17" s="63" t="b">
        <v>0</v>
      </c>
      <c r="DR17" s="63" t="b">
        <v>0</v>
      </c>
      <c r="DS17" s="63"/>
      <c r="DT17" s="63" t="s">
        <v>1687</v>
      </c>
      <c r="DU17" s="63" t="b">
        <v>0</v>
      </c>
      <c r="DV17" s="63"/>
    </row>
    <row r="18" spans="1:126" ht="41.45" customHeight="1">
      <c r="A18" s="62" t="s">
        <v>946</v>
      </c>
      <c r="B18" s="64"/>
      <c r="C18" s="78"/>
      <c r="D18" s="78" t="s">
        <v>64</v>
      </c>
      <c r="E18" s="84">
        <v>1000</v>
      </c>
      <c r="F18" s="112">
        <v>84.81157487265328</v>
      </c>
      <c r="G18" s="69" t="str">
        <f>HYPERLINK("https://pbs.twimg.com/profile_images/1427292844612595720/RC1YSvuT_normal.jpg")</f>
        <v>https://pbs.twimg.com/profile_images/1427292844612595720/RC1YSvuT_normal.jpg</v>
      </c>
      <c r="H18" s="113"/>
      <c r="I18" s="70" t="s">
        <v>946</v>
      </c>
      <c r="J18" s="114"/>
      <c r="K18" s="114"/>
      <c r="L18" s="70" t="s">
        <v>1704</v>
      </c>
      <c r="M18" s="115">
        <v>5062.795814107082</v>
      </c>
      <c r="N18" s="91">
        <v>9516.572265625</v>
      </c>
      <c r="O18" s="91">
        <v>8944.06640625</v>
      </c>
      <c r="P18" s="92"/>
      <c r="Q18" s="93"/>
      <c r="R18" s="93"/>
      <c r="S18" s="116"/>
      <c r="T18" s="48">
        <v>1</v>
      </c>
      <c r="U18" s="48">
        <v>0</v>
      </c>
      <c r="V18" s="49">
        <v>0</v>
      </c>
      <c r="W18" s="49">
        <v>0.043403</v>
      </c>
      <c r="X18" s="49">
        <v>0</v>
      </c>
      <c r="Y18" s="49">
        <v>0.013779</v>
      </c>
      <c r="Z18" s="49">
        <v>0</v>
      </c>
      <c r="AA18" s="49">
        <v>0</v>
      </c>
      <c r="AB18" s="88">
        <v>18</v>
      </c>
      <c r="AC18" s="135"/>
      <c r="AD18" s="89"/>
      <c r="AE18" s="64" t="s">
        <v>1468</v>
      </c>
      <c r="AF18" s="64">
        <v>1180</v>
      </c>
      <c r="AG18" s="64">
        <v>79253580</v>
      </c>
      <c r="AH18" s="64">
        <v>56428</v>
      </c>
      <c r="AI18" s="64"/>
      <c r="AJ18" s="64"/>
      <c r="AK18" s="64" t="s">
        <v>1597</v>
      </c>
      <c r="AL18" s="64" t="s">
        <v>1551</v>
      </c>
      <c r="AM18" s="64"/>
      <c r="AN18" s="64"/>
      <c r="AO18" s="110">
        <v>39399.90539351852</v>
      </c>
      <c r="AP18" s="111" t="str">
        <f>HYPERLINK("https://pbs.twimg.com/profile_banners/10228272/1694202402")</f>
        <v>https://pbs.twimg.com/profile_banners/10228272/1694202402</v>
      </c>
      <c r="AQ18" s="64" t="b">
        <v>0</v>
      </c>
      <c r="AR18" s="64" t="b">
        <v>0</v>
      </c>
      <c r="AS18" s="64"/>
      <c r="AT18" s="64"/>
      <c r="AU18" s="64">
        <v>79877</v>
      </c>
      <c r="AV18" s="64"/>
      <c r="AW18" s="64" t="b">
        <v>0</v>
      </c>
      <c r="AX18" s="64" t="s">
        <v>1689</v>
      </c>
      <c r="AY18" s="111" t="str">
        <f>HYPERLINK("https://twitter.com/youtube")</f>
        <v>https://twitter.com/youtube</v>
      </c>
      <c r="AZ18" s="104" t="s">
        <v>65</v>
      </c>
      <c r="BA18" s="48"/>
      <c r="BB18" s="48"/>
      <c r="BC18" s="48"/>
      <c r="BD18" s="48"/>
      <c r="BE18" s="48"/>
      <c r="BF18" s="48"/>
      <c r="BG18" s="48"/>
      <c r="BH18" s="48"/>
      <c r="BI18" s="48"/>
      <c r="BJ18" s="48"/>
      <c r="BK18" s="105"/>
      <c r="BL18" s="106"/>
      <c r="BM18" s="105"/>
      <c r="BN18" s="106"/>
      <c r="BO18" s="105"/>
      <c r="BP18" s="106"/>
      <c r="BQ18" s="48"/>
      <c r="BR18" s="49"/>
      <c r="BS18" s="48"/>
      <c r="BT18" s="63" t="str">
        <f>REPLACE(INDEX(GroupVertices[Group],MATCH(Vertices[[#This Row],[Vertex]],GroupVertices[Vertex],0)),1,1,"")</f>
        <v>5</v>
      </c>
      <c r="BU18" s="138" t="s">
        <v>1526</v>
      </c>
      <c r="BV18" s="48"/>
      <c r="BW18" s="49"/>
      <c r="BX18" s="48"/>
      <c r="BY18" s="49"/>
      <c r="BZ18" s="48"/>
      <c r="CA18" s="49"/>
      <c r="CB18" s="107"/>
      <c r="CC18" s="64"/>
      <c r="CD18" s="111" t="str">
        <f>HYPERLINK("https://t.co/bUisN3Y1A6")</f>
        <v>https://t.co/bUisN3Y1A6</v>
      </c>
      <c r="CE18" s="111" t="str">
        <f>HYPERLINK("http://youtube.com")</f>
        <v>http://youtube.com</v>
      </c>
      <c r="CF18" s="64" t="s">
        <v>1645</v>
      </c>
      <c r="CG18" s="64"/>
      <c r="CH18" s="64"/>
      <c r="CI18" s="64"/>
      <c r="CJ18" s="64"/>
      <c r="CK18" s="64"/>
      <c r="CL18" s="64"/>
      <c r="CM18" s="64"/>
      <c r="CN18" s="111" t="str">
        <f>HYPERLINK("https://t.co/bUisN3Y1A6")</f>
        <v>https://t.co/bUisN3Y1A6</v>
      </c>
      <c r="CO18" s="64"/>
      <c r="CP18" s="64"/>
      <c r="CQ18" s="64"/>
      <c r="CR18" s="64"/>
      <c r="CS18" s="64"/>
      <c r="CT18" s="64"/>
      <c r="CU18" s="64"/>
      <c r="CV18" s="64"/>
      <c r="CW18" s="64"/>
      <c r="CX18" s="64"/>
      <c r="CY18" s="64"/>
      <c r="CZ18" s="64"/>
      <c r="DA18" s="64"/>
      <c r="DB18" s="64"/>
      <c r="DC18" s="64"/>
      <c r="DD18" s="64"/>
      <c r="DE18" s="64"/>
      <c r="DF18" s="64"/>
      <c r="DG18" s="64"/>
      <c r="DH18" s="64"/>
      <c r="DI18" s="63">
        <v>6182</v>
      </c>
      <c r="DJ18" s="63">
        <v>15678</v>
      </c>
      <c r="DK18" s="63" t="b">
        <v>1</v>
      </c>
      <c r="DL18" s="63"/>
      <c r="DM18" s="63"/>
      <c r="DN18" s="63" t="b">
        <v>0</v>
      </c>
      <c r="DO18" s="63" t="b">
        <v>1</v>
      </c>
      <c r="DP18" s="63" t="b">
        <v>1</v>
      </c>
      <c r="DQ18" s="63" t="b">
        <v>0</v>
      </c>
      <c r="DR18" s="63" t="b">
        <v>0</v>
      </c>
      <c r="DS18" s="63"/>
      <c r="DT18" s="63" t="s">
        <v>1688</v>
      </c>
      <c r="DU18" s="63" t="b">
        <v>0</v>
      </c>
      <c r="DV18" s="63"/>
    </row>
    <row r="19" spans="1:126" ht="41.45" customHeight="1">
      <c r="A19" s="62" t="s">
        <v>947</v>
      </c>
      <c r="B19" s="64"/>
      <c r="C19" s="78"/>
      <c r="D19" s="78" t="s">
        <v>64</v>
      </c>
      <c r="E19" s="84">
        <v>162.00943546412142</v>
      </c>
      <c r="F19" s="112">
        <v>99.99996550418892</v>
      </c>
      <c r="G19" s="69" t="str">
        <f>HYPERLINK("https://pbs.twimg.com/profile_images/1278380717324427264/Kjluopkn_normal.jpg")</f>
        <v>https://pbs.twimg.com/profile_images/1278380717324427264/Kjluopkn_normal.jpg</v>
      </c>
      <c r="H19" s="113"/>
      <c r="I19" s="70" t="s">
        <v>947</v>
      </c>
      <c r="J19" s="114"/>
      <c r="K19" s="114"/>
      <c r="L19" s="70" t="s">
        <v>1705</v>
      </c>
      <c r="M19" s="115">
        <v>1.0114963039718745</v>
      </c>
      <c r="N19" s="91">
        <v>9398.65234375</v>
      </c>
      <c r="O19" s="91">
        <v>7538.6083984375</v>
      </c>
      <c r="P19" s="92"/>
      <c r="Q19" s="93"/>
      <c r="R19" s="93"/>
      <c r="S19" s="116"/>
      <c r="T19" s="48">
        <v>1</v>
      </c>
      <c r="U19" s="48">
        <v>0</v>
      </c>
      <c r="V19" s="49">
        <v>0</v>
      </c>
      <c r="W19" s="49">
        <v>0.043403</v>
      </c>
      <c r="X19" s="49">
        <v>0</v>
      </c>
      <c r="Y19" s="49">
        <v>0.013779</v>
      </c>
      <c r="Z19" s="49">
        <v>0</v>
      </c>
      <c r="AA19" s="49">
        <v>0</v>
      </c>
      <c r="AB19" s="88">
        <v>19</v>
      </c>
      <c r="AC19" s="135"/>
      <c r="AD19" s="89"/>
      <c r="AE19" s="64" t="s">
        <v>1469</v>
      </c>
      <c r="AF19" s="64">
        <v>405</v>
      </c>
      <c r="AG19" s="64">
        <v>180</v>
      </c>
      <c r="AH19" s="64">
        <v>770</v>
      </c>
      <c r="AI19" s="64"/>
      <c r="AJ19" s="64"/>
      <c r="AK19" s="64" t="s">
        <v>1598</v>
      </c>
      <c r="AL19" s="64" t="s">
        <v>1552</v>
      </c>
      <c r="AM19" s="64"/>
      <c r="AN19" s="64"/>
      <c r="AO19" s="110">
        <v>42007.485347222224</v>
      </c>
      <c r="AP19" s="111" t="str">
        <f>HYPERLINK("https://pbs.twimg.com/profile_banners/2957206202/1539121115")</f>
        <v>https://pbs.twimg.com/profile_banners/2957206202/1539121115</v>
      </c>
      <c r="AQ19" s="64" t="b">
        <v>1</v>
      </c>
      <c r="AR19" s="64" t="b">
        <v>0</v>
      </c>
      <c r="AS19" s="64"/>
      <c r="AT19" s="64"/>
      <c r="AU19" s="64">
        <v>2</v>
      </c>
      <c r="AV19" s="64"/>
      <c r="AW19" s="64" t="b">
        <v>0</v>
      </c>
      <c r="AX19" s="64" t="s">
        <v>1689</v>
      </c>
      <c r="AY19" s="111" t="str">
        <f>HYPERLINK("https://twitter.com/wiyo4")</f>
        <v>https://twitter.com/wiyo4</v>
      </c>
      <c r="AZ19" s="104" t="s">
        <v>65</v>
      </c>
      <c r="BA19" s="48"/>
      <c r="BB19" s="48"/>
      <c r="BC19" s="48"/>
      <c r="BD19" s="48"/>
      <c r="BE19" s="48"/>
      <c r="BF19" s="48"/>
      <c r="BG19" s="48"/>
      <c r="BH19" s="48"/>
      <c r="BI19" s="48"/>
      <c r="BJ19" s="48"/>
      <c r="BK19" s="105"/>
      <c r="BL19" s="106"/>
      <c r="BM19" s="105"/>
      <c r="BN19" s="106"/>
      <c r="BO19" s="105"/>
      <c r="BP19" s="106"/>
      <c r="BQ19" s="48"/>
      <c r="BR19" s="49"/>
      <c r="BS19" s="48"/>
      <c r="BT19" s="63" t="str">
        <f>REPLACE(INDEX(GroupVertices[Group],MATCH(Vertices[[#This Row],[Vertex]],GroupVertices[Vertex],0)),1,1,"")</f>
        <v>5</v>
      </c>
      <c r="BU19" s="138" t="s">
        <v>1402</v>
      </c>
      <c r="BV19" s="48"/>
      <c r="BW19" s="49"/>
      <c r="BX19" s="48"/>
      <c r="BY19" s="49"/>
      <c r="BZ19" s="48"/>
      <c r="CA19" s="49"/>
      <c r="CB19" s="107"/>
      <c r="CC19" s="64"/>
      <c r="CD19" s="64"/>
      <c r="CE19" s="64"/>
      <c r="CF19" s="64"/>
      <c r="CG19" s="64"/>
      <c r="CH19" s="64"/>
      <c r="CI19" s="64"/>
      <c r="CJ19" s="64"/>
      <c r="CK19" s="64"/>
      <c r="CL19" s="64"/>
      <c r="CM19" s="64">
        <v>1.66673437338592E+18</v>
      </c>
      <c r="CN19" s="64"/>
      <c r="CO19" s="64"/>
      <c r="CP19" s="64"/>
      <c r="CQ19" s="64"/>
      <c r="CR19" s="64"/>
      <c r="CS19" s="64"/>
      <c r="CT19" s="64"/>
      <c r="CU19" s="64"/>
      <c r="CV19" s="64"/>
      <c r="CW19" s="64"/>
      <c r="CX19" s="64"/>
      <c r="CY19" s="64"/>
      <c r="CZ19" s="64"/>
      <c r="DA19" s="64"/>
      <c r="DB19" s="64"/>
      <c r="DC19" s="64"/>
      <c r="DD19" s="64"/>
      <c r="DE19" s="64"/>
      <c r="DF19" s="64"/>
      <c r="DG19" s="64"/>
      <c r="DH19" s="64"/>
      <c r="DI19" s="63">
        <v>1431</v>
      </c>
      <c r="DJ19" s="63">
        <v>155</v>
      </c>
      <c r="DK19" s="63" t="b">
        <v>0</v>
      </c>
      <c r="DL19" s="63"/>
      <c r="DM19" s="63"/>
      <c r="DN19" s="63" t="b">
        <v>1</v>
      </c>
      <c r="DO19" s="63" t="b">
        <v>0</v>
      </c>
      <c r="DP19" s="63" t="b">
        <v>1</v>
      </c>
      <c r="DQ19" s="63" t="b">
        <v>0</v>
      </c>
      <c r="DR19" s="63" t="b">
        <v>0</v>
      </c>
      <c r="DS19" s="63"/>
      <c r="DT19" s="63" t="s">
        <v>1687</v>
      </c>
      <c r="DU19" s="63" t="b">
        <v>0</v>
      </c>
      <c r="DV19" s="63"/>
    </row>
    <row r="20" spans="1:126" ht="41.45" customHeight="1">
      <c r="A20" s="62" t="s">
        <v>948</v>
      </c>
      <c r="B20" s="64"/>
      <c r="C20" s="78"/>
      <c r="D20" s="78" t="s">
        <v>64</v>
      </c>
      <c r="E20" s="84">
        <v>168.79264304026617</v>
      </c>
      <c r="F20" s="112">
        <v>99.97516627396166</v>
      </c>
      <c r="G20" s="69" t="str">
        <f>HYPERLINK("https://pbs.twimg.com/profile_images/1530501729539997696/snxIRoXt_normal.jpg")</f>
        <v>https://pbs.twimg.com/profile_images/1530501729539997696/snxIRoXt_normal.jpg</v>
      </c>
      <c r="H20" s="113"/>
      <c r="I20" s="70" t="s">
        <v>948</v>
      </c>
      <c r="J20" s="114"/>
      <c r="K20" s="114"/>
      <c r="L20" s="70" t="s">
        <v>1706</v>
      </c>
      <c r="M20" s="115">
        <v>9.276253097707864</v>
      </c>
      <c r="N20" s="91">
        <v>7025.02099609375</v>
      </c>
      <c r="O20" s="91">
        <v>8402.8857421875</v>
      </c>
      <c r="P20" s="92"/>
      <c r="Q20" s="93"/>
      <c r="R20" s="93"/>
      <c r="S20" s="116"/>
      <c r="T20" s="48">
        <v>1</v>
      </c>
      <c r="U20" s="48">
        <v>0</v>
      </c>
      <c r="V20" s="49">
        <v>0</v>
      </c>
      <c r="W20" s="49">
        <v>0.043403</v>
      </c>
      <c r="X20" s="49">
        <v>0</v>
      </c>
      <c r="Y20" s="49">
        <v>0.013779</v>
      </c>
      <c r="Z20" s="49">
        <v>0</v>
      </c>
      <c r="AA20" s="49">
        <v>0</v>
      </c>
      <c r="AB20" s="88">
        <v>20</v>
      </c>
      <c r="AC20" s="135"/>
      <c r="AD20" s="89"/>
      <c r="AE20" s="64" t="s">
        <v>1470</v>
      </c>
      <c r="AF20" s="64">
        <v>2380</v>
      </c>
      <c r="AG20" s="64">
        <v>129583</v>
      </c>
      <c r="AH20" s="64">
        <v>6319</v>
      </c>
      <c r="AI20" s="64"/>
      <c r="AJ20" s="64"/>
      <c r="AK20" s="64" t="s">
        <v>1599</v>
      </c>
      <c r="AL20" s="64" t="s">
        <v>1553</v>
      </c>
      <c r="AM20" s="64"/>
      <c r="AN20" s="64"/>
      <c r="AO20" s="110">
        <v>44591.45216435185</v>
      </c>
      <c r="AP20" s="111" t="str">
        <f>HYPERLINK("https://pbs.twimg.com/profile_banners/1487740096434831362/1653735418")</f>
        <v>https://pbs.twimg.com/profile_banners/1487740096434831362/1653735418</v>
      </c>
      <c r="AQ20" s="64" t="b">
        <v>1</v>
      </c>
      <c r="AR20" s="64" t="b">
        <v>0</v>
      </c>
      <c r="AS20" s="64"/>
      <c r="AT20" s="64"/>
      <c r="AU20" s="64">
        <v>452</v>
      </c>
      <c r="AV20" s="64"/>
      <c r="AW20" s="64" t="b">
        <v>0</v>
      </c>
      <c r="AX20" s="64" t="s">
        <v>1689</v>
      </c>
      <c r="AY20" s="111" t="str">
        <f>HYPERLINK("https://twitter.com/xuemanzi8848")</f>
        <v>https://twitter.com/xuemanzi8848</v>
      </c>
      <c r="AZ20" s="104" t="s">
        <v>65</v>
      </c>
      <c r="BA20" s="48"/>
      <c r="BB20" s="48"/>
      <c r="BC20" s="48"/>
      <c r="BD20" s="48"/>
      <c r="BE20" s="48"/>
      <c r="BF20" s="48"/>
      <c r="BG20" s="48"/>
      <c r="BH20" s="48"/>
      <c r="BI20" s="48"/>
      <c r="BJ20" s="48"/>
      <c r="BK20" s="105"/>
      <c r="BL20" s="106"/>
      <c r="BM20" s="105"/>
      <c r="BN20" s="106"/>
      <c r="BO20" s="105"/>
      <c r="BP20" s="106"/>
      <c r="BQ20" s="48"/>
      <c r="BR20" s="49"/>
      <c r="BS20" s="48"/>
      <c r="BT20" s="63" t="str">
        <f>REPLACE(INDEX(GroupVertices[Group],MATCH(Vertices[[#This Row],[Vertex]],GroupVertices[Vertex],0)),1,1,"")</f>
        <v>5</v>
      </c>
      <c r="BU20" s="138" t="s">
        <v>1403</v>
      </c>
      <c r="BV20" s="48"/>
      <c r="BW20" s="49"/>
      <c r="BX20" s="48"/>
      <c r="BY20" s="49"/>
      <c r="BZ20" s="48"/>
      <c r="CA20" s="49"/>
      <c r="CB20" s="107"/>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3">
        <v>326</v>
      </c>
      <c r="DJ20" s="63">
        <v>827</v>
      </c>
      <c r="DK20" s="63" t="b">
        <v>0</v>
      </c>
      <c r="DL20" s="63"/>
      <c r="DM20" s="63"/>
      <c r="DN20" s="63" t="b">
        <v>1</v>
      </c>
      <c r="DO20" s="63" t="b">
        <v>1</v>
      </c>
      <c r="DP20" s="63" t="b">
        <v>1</v>
      </c>
      <c r="DQ20" s="63" t="b">
        <v>0</v>
      </c>
      <c r="DR20" s="63" t="b">
        <v>0</v>
      </c>
      <c r="DS20" s="63"/>
      <c r="DT20" s="63" t="s">
        <v>1687</v>
      </c>
      <c r="DU20" s="63" t="b">
        <v>0</v>
      </c>
      <c r="DV20" s="63"/>
    </row>
    <row r="21" spans="1:126" ht="41.45" customHeight="1">
      <c r="A21" s="62" t="s">
        <v>949</v>
      </c>
      <c r="B21" s="64"/>
      <c r="C21" s="78"/>
      <c r="D21" s="78" t="s">
        <v>64</v>
      </c>
      <c r="E21" s="84">
        <v>164.81145379271692</v>
      </c>
      <c r="F21" s="112">
        <v>99.98972139815918</v>
      </c>
      <c r="G21" s="69" t="str">
        <f>HYPERLINK("https://pbs.twimg.com/profile_images/1666228434979237889/LB3KeQ3D_normal.jpg")</f>
        <v>https://pbs.twimg.com/profile_images/1666228434979237889/LB3KeQ3D_normal.jpg</v>
      </c>
      <c r="H21" s="113"/>
      <c r="I21" s="70" t="s">
        <v>949</v>
      </c>
      <c r="J21" s="114"/>
      <c r="K21" s="114"/>
      <c r="L21" s="70" t="s">
        <v>1707</v>
      </c>
      <c r="M21" s="115">
        <v>4.42551537348621</v>
      </c>
      <c r="N21" s="91">
        <v>7858.68896484375</v>
      </c>
      <c r="O21" s="91">
        <v>7204.140625</v>
      </c>
      <c r="P21" s="92"/>
      <c r="Q21" s="93"/>
      <c r="R21" s="93"/>
      <c r="S21" s="116"/>
      <c r="T21" s="48">
        <v>1</v>
      </c>
      <c r="U21" s="48">
        <v>0</v>
      </c>
      <c r="V21" s="49">
        <v>0</v>
      </c>
      <c r="W21" s="49">
        <v>0.043403</v>
      </c>
      <c r="X21" s="49">
        <v>0</v>
      </c>
      <c r="Y21" s="49">
        <v>0.013779</v>
      </c>
      <c r="Z21" s="49">
        <v>0</v>
      </c>
      <c r="AA21" s="49">
        <v>0</v>
      </c>
      <c r="AB21" s="88">
        <v>21</v>
      </c>
      <c r="AC21" s="135"/>
      <c r="AD21" s="89"/>
      <c r="AE21" s="64" t="s">
        <v>1471</v>
      </c>
      <c r="AF21" s="64">
        <v>25</v>
      </c>
      <c r="AG21" s="64">
        <v>53634</v>
      </c>
      <c r="AH21" s="64">
        <v>1429</v>
      </c>
      <c r="AI21" s="64"/>
      <c r="AJ21" s="64"/>
      <c r="AK21" s="64" t="s">
        <v>1600</v>
      </c>
      <c r="AL21" s="64"/>
      <c r="AM21" s="64"/>
      <c r="AN21" s="64"/>
      <c r="AO21" s="110">
        <v>44211.07644675926</v>
      </c>
      <c r="AP21" s="111" t="str">
        <f>HYPERLINK("https://pbs.twimg.com/profile_banners/1349896547870367747/1681563430")</f>
        <v>https://pbs.twimg.com/profile_banners/1349896547870367747/1681563430</v>
      </c>
      <c r="AQ21" s="64" t="b">
        <v>1</v>
      </c>
      <c r="AR21" s="64" t="b">
        <v>0</v>
      </c>
      <c r="AS21" s="64"/>
      <c r="AT21" s="64"/>
      <c r="AU21" s="64">
        <v>140</v>
      </c>
      <c r="AV21" s="64"/>
      <c r="AW21" s="64" t="b">
        <v>0</v>
      </c>
      <c r="AX21" s="64" t="s">
        <v>1689</v>
      </c>
      <c r="AY21" s="111" t="str">
        <f>HYPERLINK("https://twitter.com/whlamei")</f>
        <v>https://twitter.com/whlamei</v>
      </c>
      <c r="AZ21" s="104" t="s">
        <v>65</v>
      </c>
      <c r="BA21" s="48"/>
      <c r="BB21" s="48"/>
      <c r="BC21" s="48"/>
      <c r="BD21" s="48"/>
      <c r="BE21" s="48"/>
      <c r="BF21" s="48"/>
      <c r="BG21" s="48"/>
      <c r="BH21" s="48"/>
      <c r="BI21" s="48"/>
      <c r="BJ21" s="48"/>
      <c r="BK21" s="105"/>
      <c r="BL21" s="106"/>
      <c r="BM21" s="105"/>
      <c r="BN21" s="106"/>
      <c r="BO21" s="105"/>
      <c r="BP21" s="106"/>
      <c r="BQ21" s="48"/>
      <c r="BR21" s="49"/>
      <c r="BS21" s="48"/>
      <c r="BT21" s="63" t="str">
        <f>REPLACE(INDEX(GroupVertices[Group],MATCH(Vertices[[#This Row],[Vertex]],GroupVertices[Vertex],0)),1,1,"")</f>
        <v>5</v>
      </c>
      <c r="BU21" s="138" t="s">
        <v>1527</v>
      </c>
      <c r="BV21" s="48"/>
      <c r="BW21" s="49"/>
      <c r="BX21" s="48"/>
      <c r="BY21" s="49"/>
      <c r="BZ21" s="48"/>
      <c r="CA21" s="49"/>
      <c r="CB21" s="107"/>
      <c r="CC21" s="64"/>
      <c r="CD21" s="64"/>
      <c r="CE21" s="64"/>
      <c r="CF21" s="64"/>
      <c r="CG21" s="64" t="s">
        <v>1669</v>
      </c>
      <c r="CH21" s="64" t="s">
        <v>1672</v>
      </c>
      <c r="CI21" s="64" t="s">
        <v>1678</v>
      </c>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3">
        <v>40</v>
      </c>
      <c r="DJ21" s="63">
        <v>513</v>
      </c>
      <c r="DK21" s="63" t="b">
        <v>1</v>
      </c>
      <c r="DL21" s="63"/>
      <c r="DM21" s="63"/>
      <c r="DN21" s="63" t="b">
        <v>1</v>
      </c>
      <c r="DO21" s="63" t="b">
        <v>0</v>
      </c>
      <c r="DP21" s="63" t="b">
        <v>0</v>
      </c>
      <c r="DQ21" s="63" t="b">
        <v>0</v>
      </c>
      <c r="DR21" s="63" t="b">
        <v>0</v>
      </c>
      <c r="DS21" s="63"/>
      <c r="DT21" s="63" t="s">
        <v>1687</v>
      </c>
      <c r="DU21" s="63" t="b">
        <v>0</v>
      </c>
      <c r="DV21" s="63"/>
    </row>
    <row r="22" spans="1:126" ht="41.45" customHeight="1">
      <c r="A22" s="62" t="s">
        <v>950</v>
      </c>
      <c r="B22" s="64"/>
      <c r="C22" s="78"/>
      <c r="D22" s="78" t="s">
        <v>64</v>
      </c>
      <c r="E22" s="84">
        <v>166.87808253153676</v>
      </c>
      <c r="F22" s="112">
        <v>99.98216585731615</v>
      </c>
      <c r="G22" s="69" t="str">
        <f>HYPERLINK("https://pbs.twimg.com/profile_images/1629367617759633409/z3PhgeiX_normal.jpg")</f>
        <v>https://pbs.twimg.com/profile_images/1629367617759633409/z3PhgeiX_normal.jpg</v>
      </c>
      <c r="H22" s="113"/>
      <c r="I22" s="70" t="s">
        <v>950</v>
      </c>
      <c r="J22" s="114"/>
      <c r="K22" s="114"/>
      <c r="L22" s="70" t="s">
        <v>1708</v>
      </c>
      <c r="M22" s="115">
        <v>6.943525285103727</v>
      </c>
      <c r="N22" s="91">
        <v>8049.74853515625</v>
      </c>
      <c r="O22" s="91">
        <v>9478.21875</v>
      </c>
      <c r="P22" s="92"/>
      <c r="Q22" s="93"/>
      <c r="R22" s="93"/>
      <c r="S22" s="116"/>
      <c r="T22" s="48">
        <v>1</v>
      </c>
      <c r="U22" s="48">
        <v>0</v>
      </c>
      <c r="V22" s="49">
        <v>0</v>
      </c>
      <c r="W22" s="49">
        <v>0.043403</v>
      </c>
      <c r="X22" s="49">
        <v>0</v>
      </c>
      <c r="Y22" s="49">
        <v>0.013779</v>
      </c>
      <c r="Z22" s="49">
        <v>0</v>
      </c>
      <c r="AA22" s="49">
        <v>0</v>
      </c>
      <c r="AB22" s="88">
        <v>22</v>
      </c>
      <c r="AC22" s="135"/>
      <c r="AD22" s="89"/>
      <c r="AE22" s="64" t="s">
        <v>1472</v>
      </c>
      <c r="AF22" s="64">
        <v>81</v>
      </c>
      <c r="AG22" s="64">
        <v>93059</v>
      </c>
      <c r="AH22" s="64">
        <v>1919</v>
      </c>
      <c r="AI22" s="64"/>
      <c r="AJ22" s="64"/>
      <c r="AK22" s="64" t="s">
        <v>1601</v>
      </c>
      <c r="AL22" s="64" t="s">
        <v>1554</v>
      </c>
      <c r="AM22" s="64"/>
      <c r="AN22" s="64"/>
      <c r="AO22" s="110">
        <v>43670.98706018519</v>
      </c>
      <c r="AP22" s="111" t="str">
        <f>HYPERLINK("https://pbs.twimg.com/profile_banners/1154174763918606339/1674848658")</f>
        <v>https://pbs.twimg.com/profile_banners/1154174763918606339/1674848658</v>
      </c>
      <c r="AQ22" s="64" t="b">
        <v>1</v>
      </c>
      <c r="AR22" s="64" t="b">
        <v>0</v>
      </c>
      <c r="AS22" s="64"/>
      <c r="AT22" s="64"/>
      <c r="AU22" s="64">
        <v>286</v>
      </c>
      <c r="AV22" s="64"/>
      <c r="AW22" s="64" t="b">
        <v>0</v>
      </c>
      <c r="AX22" s="64" t="s">
        <v>1689</v>
      </c>
      <c r="AY22" s="111" t="str">
        <f>HYPERLINK("https://twitter.com/maoshen04")</f>
        <v>https://twitter.com/maoshen04</v>
      </c>
      <c r="AZ22" s="104" t="s">
        <v>65</v>
      </c>
      <c r="BA22" s="48"/>
      <c r="BB22" s="48"/>
      <c r="BC22" s="48"/>
      <c r="BD22" s="48"/>
      <c r="BE22" s="48"/>
      <c r="BF22" s="48"/>
      <c r="BG22" s="48"/>
      <c r="BH22" s="48"/>
      <c r="BI22" s="48"/>
      <c r="BJ22" s="48"/>
      <c r="BK22" s="105"/>
      <c r="BL22" s="106"/>
      <c r="BM22" s="105"/>
      <c r="BN22" s="106"/>
      <c r="BO22" s="105"/>
      <c r="BP22" s="106"/>
      <c r="BQ22" s="48"/>
      <c r="BR22" s="49"/>
      <c r="BS22" s="48"/>
      <c r="BT22" s="63" t="str">
        <f>REPLACE(INDEX(GroupVertices[Group],MATCH(Vertices[[#This Row],[Vertex]],GroupVertices[Vertex],0)),1,1,"")</f>
        <v>5</v>
      </c>
      <c r="BU22" s="138" t="s">
        <v>1404</v>
      </c>
      <c r="BV22" s="48"/>
      <c r="BW22" s="49"/>
      <c r="BX22" s="48"/>
      <c r="BY22" s="49"/>
      <c r="BZ22" s="48"/>
      <c r="CA22" s="49"/>
      <c r="CB22" s="107"/>
      <c r="CC22" s="64"/>
      <c r="CD22" s="111" t="str">
        <f>HYPERLINK("https://t.co/WbubXJ2HyM")</f>
        <v>https://t.co/WbubXJ2HyM</v>
      </c>
      <c r="CE22" s="111" t="str">
        <f>HYPERLINK("https://www.youtube.com/c/maoshen")</f>
        <v>https://www.youtube.com/c/maoshen</v>
      </c>
      <c r="CF22" s="64" t="s">
        <v>1646</v>
      </c>
      <c r="CG22" s="64" t="s">
        <v>1670</v>
      </c>
      <c r="CH22" s="64" t="s">
        <v>1673</v>
      </c>
      <c r="CI22" s="64" t="s">
        <v>1679</v>
      </c>
      <c r="CJ22" s="64"/>
      <c r="CK22" s="64"/>
      <c r="CL22" s="64"/>
      <c r="CM22" s="64">
        <v>1.64188940430934E+18</v>
      </c>
      <c r="CN22" s="111" t="str">
        <f>HYPERLINK("https://t.co/WbubXJ2HyM")</f>
        <v>https://t.co/WbubXJ2HyM</v>
      </c>
      <c r="CO22" s="64"/>
      <c r="CP22" s="64"/>
      <c r="CQ22" s="64"/>
      <c r="CR22" s="64"/>
      <c r="CS22" s="64"/>
      <c r="CT22" s="64"/>
      <c r="CU22" s="64"/>
      <c r="CV22" s="64"/>
      <c r="CW22" s="64"/>
      <c r="CX22" s="64"/>
      <c r="CY22" s="64"/>
      <c r="CZ22" s="64"/>
      <c r="DA22" s="64"/>
      <c r="DB22" s="64"/>
      <c r="DC22" s="64"/>
      <c r="DD22" s="64"/>
      <c r="DE22" s="64"/>
      <c r="DF22" s="64"/>
      <c r="DG22" s="64"/>
      <c r="DH22" s="64"/>
      <c r="DI22" s="63">
        <v>3520</v>
      </c>
      <c r="DJ22" s="63">
        <v>1016</v>
      </c>
      <c r="DK22" s="63" t="b">
        <v>1</v>
      </c>
      <c r="DL22" s="63"/>
      <c r="DM22" s="63"/>
      <c r="DN22" s="63" t="b">
        <v>1</v>
      </c>
      <c r="DO22" s="63" t="b">
        <v>0</v>
      </c>
      <c r="DP22" s="63" t="b">
        <v>1</v>
      </c>
      <c r="DQ22" s="63" t="b">
        <v>0</v>
      </c>
      <c r="DR22" s="63" t="b">
        <v>0</v>
      </c>
      <c r="DS22" s="63"/>
      <c r="DT22" s="63" t="s">
        <v>1687</v>
      </c>
      <c r="DU22" s="63" t="b">
        <v>0</v>
      </c>
      <c r="DV22" s="63"/>
    </row>
    <row r="23" spans="1:126" ht="41.45" customHeight="1">
      <c r="A23" s="62" t="s">
        <v>907</v>
      </c>
      <c r="B23" s="64"/>
      <c r="C23" s="78"/>
      <c r="D23" s="78" t="s">
        <v>64</v>
      </c>
      <c r="E23" s="84">
        <v>162.00078628867678</v>
      </c>
      <c r="F23" s="112">
        <v>99.99999712534908</v>
      </c>
      <c r="G23" s="69" t="str">
        <f>HYPERLINK("https://pbs.twimg.com/profile_images/1626252457369276422/6wPdKfFN_normal.jpg")</f>
        <v>https://pbs.twimg.com/profile_images/1626252457369276422/6wPdKfFN_normal.jpg</v>
      </c>
      <c r="H23" s="113"/>
      <c r="I23" s="70" t="s">
        <v>907</v>
      </c>
      <c r="J23" s="114"/>
      <c r="K23" s="114"/>
      <c r="L23" s="70" t="s">
        <v>1709</v>
      </c>
      <c r="M23" s="115">
        <v>1.0009580253309895</v>
      </c>
      <c r="N23" s="91">
        <v>7836.8369140625</v>
      </c>
      <c r="O23" s="91">
        <v>3102.98828125</v>
      </c>
      <c r="P23" s="92"/>
      <c r="Q23" s="93"/>
      <c r="R23" s="93"/>
      <c r="S23" s="116"/>
      <c r="T23" s="48">
        <v>1</v>
      </c>
      <c r="U23" s="48">
        <v>1</v>
      </c>
      <c r="V23" s="49">
        <v>0</v>
      </c>
      <c r="W23" s="49">
        <v>0</v>
      </c>
      <c r="X23" s="49">
        <v>0</v>
      </c>
      <c r="Y23" s="49">
        <v>0.015385</v>
      </c>
      <c r="Z23" s="49">
        <v>0</v>
      </c>
      <c r="AA23" s="49">
        <v>0</v>
      </c>
      <c r="AB23" s="88">
        <v>23</v>
      </c>
      <c r="AC23" s="135"/>
      <c r="AD23" s="89"/>
      <c r="AE23" s="64" t="s">
        <v>1473</v>
      </c>
      <c r="AF23" s="64">
        <v>9</v>
      </c>
      <c r="AG23" s="64">
        <v>15</v>
      </c>
      <c r="AH23" s="64">
        <v>3</v>
      </c>
      <c r="AI23" s="64"/>
      <c r="AJ23" s="64"/>
      <c r="AK23" s="64" t="s">
        <v>1602</v>
      </c>
      <c r="AL23" s="64" t="s">
        <v>1555</v>
      </c>
      <c r="AM23" s="64"/>
      <c r="AN23" s="64"/>
      <c r="AO23" s="110">
        <v>44088.06076388889</v>
      </c>
      <c r="AP23" s="64"/>
      <c r="AQ23" s="64" t="b">
        <v>1</v>
      </c>
      <c r="AR23" s="64" t="b">
        <v>0</v>
      </c>
      <c r="AS23" s="64"/>
      <c r="AT23" s="64"/>
      <c r="AU23" s="64">
        <v>0</v>
      </c>
      <c r="AV23" s="64"/>
      <c r="AW23" s="64" t="b">
        <v>0</v>
      </c>
      <c r="AX23" s="64" t="s">
        <v>1689</v>
      </c>
      <c r="AY23" s="111" t="str">
        <f>HYPERLINK("https://twitter.com/hfaxcjqrmpttxou")</f>
        <v>https://twitter.com/hfaxcjqrmpttxou</v>
      </c>
      <c r="AZ23" s="104" t="s">
        <v>66</v>
      </c>
      <c r="BA23" s="48"/>
      <c r="BB23" s="48"/>
      <c r="BC23" s="48"/>
      <c r="BD23" s="48"/>
      <c r="BE23" s="48" t="s">
        <v>1068</v>
      </c>
      <c r="BF23" s="48" t="s">
        <v>1068</v>
      </c>
      <c r="BG23" s="83" t="s">
        <v>1978</v>
      </c>
      <c r="BH23" s="83" t="s">
        <v>1978</v>
      </c>
      <c r="BI23" s="83" t="s">
        <v>2023</v>
      </c>
      <c r="BJ23" s="83" t="s">
        <v>2023</v>
      </c>
      <c r="BK23" s="105"/>
      <c r="BL23" s="106"/>
      <c r="BM23" s="105"/>
      <c r="BN23" s="106"/>
      <c r="BO23" s="105"/>
      <c r="BP23" s="106"/>
      <c r="BQ23" s="48">
        <v>2</v>
      </c>
      <c r="BR23" s="49">
        <v>100</v>
      </c>
      <c r="BS23" s="48">
        <v>2</v>
      </c>
      <c r="BT23" s="63" t="str">
        <f>REPLACE(INDEX(GroupVertices[Group],MATCH(Vertices[[#This Row],[Vertex]],GroupVertices[Vertex],0)),1,1,"")</f>
        <v>14</v>
      </c>
      <c r="BU23" s="138" t="s">
        <v>1426</v>
      </c>
      <c r="BV23" s="48">
        <v>0</v>
      </c>
      <c r="BW23" s="49">
        <v>0</v>
      </c>
      <c r="BX23" s="48">
        <v>0</v>
      </c>
      <c r="BY23" s="49">
        <v>0</v>
      </c>
      <c r="BZ23" s="48">
        <v>0</v>
      </c>
      <c r="CA23" s="49">
        <v>0</v>
      </c>
      <c r="CB23" s="107"/>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3">
        <v>10</v>
      </c>
      <c r="DJ23" s="63">
        <v>2</v>
      </c>
      <c r="DK23" s="63" t="b">
        <v>0</v>
      </c>
      <c r="DL23" s="63"/>
      <c r="DM23" s="63"/>
      <c r="DN23" s="63" t="b">
        <v>0</v>
      </c>
      <c r="DO23" s="63" t="b">
        <v>0</v>
      </c>
      <c r="DP23" s="63" t="b">
        <v>1</v>
      </c>
      <c r="DQ23" s="63" t="b">
        <v>0</v>
      </c>
      <c r="DR23" s="63" t="b">
        <v>0</v>
      </c>
      <c r="DS23" s="63"/>
      <c r="DT23" s="63" t="s">
        <v>1687</v>
      </c>
      <c r="DU23" s="63" t="b">
        <v>0</v>
      </c>
      <c r="DV23" s="63"/>
    </row>
    <row r="24" spans="1:126" ht="41.45" customHeight="1">
      <c r="A24" s="62" t="s">
        <v>908</v>
      </c>
      <c r="B24" s="64"/>
      <c r="C24" s="78"/>
      <c r="D24" s="78" t="s">
        <v>64</v>
      </c>
      <c r="E24" s="84">
        <v>162.00204435055966</v>
      </c>
      <c r="F24" s="112">
        <v>99.9999925259076</v>
      </c>
      <c r="G24" s="69" t="str">
        <f>HYPERLINK("https://pbs.twimg.com/profile_images/1539553672966950915/OvPDjxNS_normal.jpg")</f>
        <v>https://pbs.twimg.com/profile_images/1539553672966950915/OvPDjxNS_normal.jpg</v>
      </c>
      <c r="H24" s="113"/>
      <c r="I24" s="70" t="s">
        <v>908</v>
      </c>
      <c r="J24" s="114"/>
      <c r="K24" s="114"/>
      <c r="L24" s="70" t="s">
        <v>1710</v>
      </c>
      <c r="M24" s="115">
        <v>1.002490865860573</v>
      </c>
      <c r="N24" s="91">
        <v>7836.8369140625</v>
      </c>
      <c r="O24" s="91">
        <v>1757.63671875</v>
      </c>
      <c r="P24" s="92"/>
      <c r="Q24" s="93"/>
      <c r="R24" s="93"/>
      <c r="S24" s="116"/>
      <c r="T24" s="48">
        <v>0</v>
      </c>
      <c r="U24" s="48">
        <v>1</v>
      </c>
      <c r="V24" s="49">
        <v>0</v>
      </c>
      <c r="W24" s="49">
        <v>0.015625</v>
      </c>
      <c r="X24" s="49">
        <v>0</v>
      </c>
      <c r="Y24" s="49">
        <v>0.015385</v>
      </c>
      <c r="Z24" s="49">
        <v>0</v>
      </c>
      <c r="AA24" s="49">
        <v>0</v>
      </c>
      <c r="AB24" s="88">
        <v>24</v>
      </c>
      <c r="AC24" s="135"/>
      <c r="AD24" s="89"/>
      <c r="AE24" s="64" t="s">
        <v>1474</v>
      </c>
      <c r="AF24" s="64">
        <v>404</v>
      </c>
      <c r="AG24" s="64">
        <v>39</v>
      </c>
      <c r="AH24" s="64">
        <v>18</v>
      </c>
      <c r="AI24" s="64"/>
      <c r="AJ24" s="64"/>
      <c r="AK24" s="64"/>
      <c r="AL24" s="64"/>
      <c r="AM24" s="64"/>
      <c r="AN24" s="64"/>
      <c r="AO24" s="110">
        <v>44734.430243055554</v>
      </c>
      <c r="AP24" s="64"/>
      <c r="AQ24" s="64" t="b">
        <v>1</v>
      </c>
      <c r="AR24" s="64" t="b">
        <v>0</v>
      </c>
      <c r="AS24" s="64"/>
      <c r="AT24" s="64"/>
      <c r="AU24" s="64">
        <v>1</v>
      </c>
      <c r="AV24" s="64"/>
      <c r="AW24" s="64" t="b">
        <v>0</v>
      </c>
      <c r="AX24" s="64" t="s">
        <v>1689</v>
      </c>
      <c r="AY24" s="111" t="str">
        <f>HYPERLINK("https://twitter.com/jeremyl78036806")</f>
        <v>https://twitter.com/jeremyl78036806</v>
      </c>
      <c r="AZ24" s="104" t="s">
        <v>66</v>
      </c>
      <c r="BA24" s="48"/>
      <c r="BB24" s="48"/>
      <c r="BC24" s="48"/>
      <c r="BD24" s="48"/>
      <c r="BE24" s="48"/>
      <c r="BF24" s="48"/>
      <c r="BG24" s="83" t="s">
        <v>1979</v>
      </c>
      <c r="BH24" s="83" t="s">
        <v>1979</v>
      </c>
      <c r="BI24" s="83" t="s">
        <v>2024</v>
      </c>
      <c r="BJ24" s="83" t="s">
        <v>2024</v>
      </c>
      <c r="BK24" s="105"/>
      <c r="BL24" s="106"/>
      <c r="BM24" s="105"/>
      <c r="BN24" s="106"/>
      <c r="BO24" s="105"/>
      <c r="BP24" s="106"/>
      <c r="BQ24" s="48">
        <v>4</v>
      </c>
      <c r="BR24" s="49">
        <v>100</v>
      </c>
      <c r="BS24" s="48">
        <v>4</v>
      </c>
      <c r="BT24" s="63" t="str">
        <f>REPLACE(INDEX(GroupVertices[Group],MATCH(Vertices[[#This Row],[Vertex]],GroupVertices[Vertex],0)),1,1,"")</f>
        <v>10</v>
      </c>
      <c r="BU24" s="138" t="s">
        <v>1427</v>
      </c>
      <c r="BV24" s="48">
        <v>0</v>
      </c>
      <c r="BW24" s="49">
        <v>0</v>
      </c>
      <c r="BX24" s="48">
        <v>0</v>
      </c>
      <c r="BY24" s="49">
        <v>0</v>
      </c>
      <c r="BZ24" s="48">
        <v>0</v>
      </c>
      <c r="CA24" s="49">
        <v>0</v>
      </c>
      <c r="CB24" s="107"/>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3">
        <v>4032</v>
      </c>
      <c r="DJ24" s="63">
        <v>1</v>
      </c>
      <c r="DK24" s="63" t="b">
        <v>0</v>
      </c>
      <c r="DL24" s="63"/>
      <c r="DM24" s="63"/>
      <c r="DN24" s="63" t="b">
        <v>0</v>
      </c>
      <c r="DO24" s="63" t="b">
        <v>1</v>
      </c>
      <c r="DP24" s="63" t="b">
        <v>0</v>
      </c>
      <c r="DQ24" s="63" t="b">
        <v>0</v>
      </c>
      <c r="DR24" s="63" t="b">
        <v>0</v>
      </c>
      <c r="DS24" s="63"/>
      <c r="DT24" s="63" t="s">
        <v>1687</v>
      </c>
      <c r="DU24" s="63" t="b">
        <v>0</v>
      </c>
      <c r="DV24" s="63"/>
    </row>
    <row r="25" spans="1:126" ht="41.45" customHeight="1">
      <c r="A25" s="62" t="s">
        <v>951</v>
      </c>
      <c r="B25" s="64"/>
      <c r="C25" s="78"/>
      <c r="D25" s="78" t="s">
        <v>64</v>
      </c>
      <c r="E25" s="84">
        <v>165.24061015250686</v>
      </c>
      <c r="F25" s="112">
        <v>99.98815241368531</v>
      </c>
      <c r="G25" s="69" t="str">
        <f>HYPERLINK("https://pbs.twimg.com/profile_images/1684582574105272322/MddvNXRG_normal.jpg")</f>
        <v>https://pbs.twimg.com/profile_images/1684582574105272322/MddvNXRG_normal.jpg</v>
      </c>
      <c r="H25" s="113"/>
      <c r="I25" s="70" t="s">
        <v>951</v>
      </c>
      <c r="J25" s="114"/>
      <c r="K25" s="114"/>
      <c r="L25" s="70" t="s">
        <v>1711</v>
      </c>
      <c r="M25" s="115">
        <v>4.948405599140303</v>
      </c>
      <c r="N25" s="91">
        <v>7836.8369140625</v>
      </c>
      <c r="O25" s="91">
        <v>933.06640625</v>
      </c>
      <c r="P25" s="92"/>
      <c r="Q25" s="93"/>
      <c r="R25" s="93"/>
      <c r="S25" s="116"/>
      <c r="T25" s="48">
        <v>1</v>
      </c>
      <c r="U25" s="48">
        <v>0</v>
      </c>
      <c r="V25" s="49">
        <v>0</v>
      </c>
      <c r="W25" s="49">
        <v>0.015625</v>
      </c>
      <c r="X25" s="49">
        <v>0</v>
      </c>
      <c r="Y25" s="49">
        <v>0.015385</v>
      </c>
      <c r="Z25" s="49">
        <v>0</v>
      </c>
      <c r="AA25" s="49">
        <v>0</v>
      </c>
      <c r="AB25" s="88">
        <v>25</v>
      </c>
      <c r="AC25" s="135"/>
      <c r="AD25" s="89"/>
      <c r="AE25" s="64" t="s">
        <v>1475</v>
      </c>
      <c r="AF25" s="64">
        <v>18</v>
      </c>
      <c r="AG25" s="64">
        <v>61821</v>
      </c>
      <c r="AH25" s="64">
        <v>49141</v>
      </c>
      <c r="AI25" s="64"/>
      <c r="AJ25" s="64"/>
      <c r="AK25" s="64" t="s">
        <v>1603</v>
      </c>
      <c r="AL25" s="64" t="s">
        <v>1546</v>
      </c>
      <c r="AM25" s="64"/>
      <c r="AN25" s="64"/>
      <c r="AO25" s="110">
        <v>45089.65849537037</v>
      </c>
      <c r="AP25" s="111" t="str">
        <f>HYPERLINK("https://pbs.twimg.com/profile_banners/1668283974488141826/1694209054")</f>
        <v>https://pbs.twimg.com/profile_banners/1668283974488141826/1694209054</v>
      </c>
      <c r="AQ25" s="64" t="b">
        <v>1</v>
      </c>
      <c r="AR25" s="64" t="b">
        <v>0</v>
      </c>
      <c r="AS25" s="64"/>
      <c r="AT25" s="64"/>
      <c r="AU25" s="64">
        <v>149</v>
      </c>
      <c r="AV25" s="64"/>
      <c r="AW25" s="64" t="b">
        <v>0</v>
      </c>
      <c r="AX25" s="64" t="s">
        <v>1689</v>
      </c>
      <c r="AY25" s="111" t="str">
        <f>HYPERLINK("https://twitter.com/nicoleevien_")</f>
        <v>https://twitter.com/nicoleevien_</v>
      </c>
      <c r="AZ25" s="104" t="s">
        <v>65</v>
      </c>
      <c r="BA25" s="48"/>
      <c r="BB25" s="48"/>
      <c r="BC25" s="48"/>
      <c r="BD25" s="48"/>
      <c r="BE25" s="48"/>
      <c r="BF25" s="48"/>
      <c r="BG25" s="48"/>
      <c r="BH25" s="48"/>
      <c r="BI25" s="48"/>
      <c r="BJ25" s="48"/>
      <c r="BK25" s="105"/>
      <c r="BL25" s="106"/>
      <c r="BM25" s="105"/>
      <c r="BN25" s="106"/>
      <c r="BO25" s="105"/>
      <c r="BP25" s="106"/>
      <c r="BQ25" s="48"/>
      <c r="BR25" s="49"/>
      <c r="BS25" s="48"/>
      <c r="BT25" s="63" t="str">
        <f>REPLACE(INDEX(GroupVertices[Group],MATCH(Vertices[[#This Row],[Vertex]],GroupVertices[Vertex],0)),1,1,"")</f>
        <v>10</v>
      </c>
      <c r="BU25" s="138" t="s">
        <v>1405</v>
      </c>
      <c r="BV25" s="48"/>
      <c r="BW25" s="49"/>
      <c r="BX25" s="48"/>
      <c r="BY25" s="49"/>
      <c r="BZ25" s="48"/>
      <c r="CA25" s="49"/>
      <c r="CB25" s="107"/>
      <c r="CC25" s="64"/>
      <c r="CD25" s="111" t="str">
        <f>HYPERLINK("https://t.co/6i4kqKDrmi")</f>
        <v>https://t.co/6i4kqKDrmi</v>
      </c>
      <c r="CE25" s="111" t="str">
        <f>HYPERLINK("https://onlyfans.com/action/trial/osekwjaedyeobwairuhmdm0dwnyue5jl")</f>
        <v>https://onlyfans.com/action/trial/osekwjaedyeobwairuhmdm0dwnyue5jl</v>
      </c>
      <c r="CF25" s="64" t="s">
        <v>1647</v>
      </c>
      <c r="CG25" s="64"/>
      <c r="CH25" s="64"/>
      <c r="CI25" s="64"/>
      <c r="CJ25" s="64"/>
      <c r="CK25" s="64"/>
      <c r="CL25" s="64"/>
      <c r="CM25" s="64">
        <v>1.70196381603931E+18</v>
      </c>
      <c r="CN25" s="111" t="str">
        <f>HYPERLINK("https://t.co/6i4kqKDrmi")</f>
        <v>https://t.co/6i4kqKDrmi</v>
      </c>
      <c r="CO25" s="64"/>
      <c r="CP25" s="64"/>
      <c r="CQ25" s="64"/>
      <c r="CR25" s="64"/>
      <c r="CS25" s="64"/>
      <c r="CT25" s="64"/>
      <c r="CU25" s="64"/>
      <c r="CV25" s="64"/>
      <c r="CW25" s="64"/>
      <c r="CX25" s="64"/>
      <c r="CY25" s="64"/>
      <c r="CZ25" s="64"/>
      <c r="DA25" s="64"/>
      <c r="DB25" s="64"/>
      <c r="DC25" s="64"/>
      <c r="DD25" s="64"/>
      <c r="DE25" s="64"/>
      <c r="DF25" s="64"/>
      <c r="DG25" s="64"/>
      <c r="DH25" s="64"/>
      <c r="DI25" s="63">
        <v>373</v>
      </c>
      <c r="DJ25" s="63">
        <v>102</v>
      </c>
      <c r="DK25" s="63" t="b">
        <v>1</v>
      </c>
      <c r="DL25" s="63"/>
      <c r="DM25" s="63"/>
      <c r="DN25" s="63" t="b">
        <v>1</v>
      </c>
      <c r="DO25" s="63" t="b">
        <v>1</v>
      </c>
      <c r="DP25" s="63" t="b">
        <v>0</v>
      </c>
      <c r="DQ25" s="63" t="b">
        <v>0</v>
      </c>
      <c r="DR25" s="63" t="b">
        <v>1</v>
      </c>
      <c r="DS25" s="63" t="s">
        <v>1686</v>
      </c>
      <c r="DT25" s="63" t="s">
        <v>1687</v>
      </c>
      <c r="DU25" s="63" t="b">
        <v>0</v>
      </c>
      <c r="DV25" s="63"/>
    </row>
    <row r="26" spans="1:126" ht="41.45" customHeight="1">
      <c r="A26" s="62" t="s">
        <v>909</v>
      </c>
      <c r="B26" s="64"/>
      <c r="C26" s="78"/>
      <c r="D26" s="78" t="s">
        <v>64</v>
      </c>
      <c r="E26" s="84">
        <v>171.02785207138902</v>
      </c>
      <c r="F26" s="112">
        <v>99.96699440796073</v>
      </c>
      <c r="G26" s="69" t="str">
        <f>HYPERLINK("https://pbs.twimg.com/profile_images/1691622065470648321/y2P9nFBS_normal.jpg")</f>
        <v>https://pbs.twimg.com/profile_images/1691622065470648321/y2P9nFBS_normal.jpg</v>
      </c>
      <c r="H26" s="113"/>
      <c r="I26" s="70" t="s">
        <v>909</v>
      </c>
      <c r="J26" s="114"/>
      <c r="K26" s="114"/>
      <c r="L26" s="70" t="s">
        <v>1712</v>
      </c>
      <c r="M26" s="115">
        <v>11.999663640289539</v>
      </c>
      <c r="N26" s="91">
        <v>6501.04541015625</v>
      </c>
      <c r="O26" s="91">
        <v>7204.140625</v>
      </c>
      <c r="P26" s="92"/>
      <c r="Q26" s="93"/>
      <c r="R26" s="93"/>
      <c r="S26" s="116"/>
      <c r="T26" s="48">
        <v>2</v>
      </c>
      <c r="U26" s="48">
        <v>1</v>
      </c>
      <c r="V26" s="49">
        <v>0</v>
      </c>
      <c r="W26" s="49">
        <v>0.035156</v>
      </c>
      <c r="X26" s="49">
        <v>0</v>
      </c>
      <c r="Y26" s="49">
        <v>0.015343</v>
      </c>
      <c r="Z26" s="49">
        <v>0</v>
      </c>
      <c r="AA26" s="49">
        <v>0</v>
      </c>
      <c r="AB26" s="88">
        <v>26</v>
      </c>
      <c r="AC26" s="135"/>
      <c r="AD26" s="89"/>
      <c r="AE26" s="64" t="s">
        <v>1476</v>
      </c>
      <c r="AF26" s="64">
        <v>3747</v>
      </c>
      <c r="AG26" s="64">
        <v>172224</v>
      </c>
      <c r="AH26" s="64">
        <v>6532</v>
      </c>
      <c r="AI26" s="64"/>
      <c r="AJ26" s="64"/>
      <c r="AK26" s="64" t="s">
        <v>1604</v>
      </c>
      <c r="AL26" s="64"/>
      <c r="AM26" s="64"/>
      <c r="AN26" s="64"/>
      <c r="AO26" s="110">
        <v>44124.068194444444</v>
      </c>
      <c r="AP26" s="111" t="str">
        <f>HYPERLINK("https://pbs.twimg.com/profile_banners/1318365628466683904/1604554913")</f>
        <v>https://pbs.twimg.com/profile_banners/1318365628466683904/1604554913</v>
      </c>
      <c r="AQ26" s="64" t="b">
        <v>1</v>
      </c>
      <c r="AR26" s="64" t="b">
        <v>0</v>
      </c>
      <c r="AS26" s="64"/>
      <c r="AT26" s="64"/>
      <c r="AU26" s="64">
        <v>921</v>
      </c>
      <c r="AV26" s="64"/>
      <c r="AW26" s="64" t="b">
        <v>0</v>
      </c>
      <c r="AX26" s="64" t="s">
        <v>1689</v>
      </c>
      <c r="AY26" s="111" t="str">
        <f>HYPERLINK("https://twitter.com/rahsh33m")</f>
        <v>https://twitter.com/rahsh33m</v>
      </c>
      <c r="AZ26" s="104" t="s">
        <v>66</v>
      </c>
      <c r="BA26" s="48"/>
      <c r="BB26" s="48"/>
      <c r="BC26" s="48"/>
      <c r="BD26" s="48"/>
      <c r="BE26" s="48"/>
      <c r="BF26" s="48"/>
      <c r="BG26" s="83" t="s">
        <v>1980</v>
      </c>
      <c r="BH26" s="83" t="s">
        <v>1980</v>
      </c>
      <c r="BI26" s="83" t="s">
        <v>2025</v>
      </c>
      <c r="BJ26" s="83" t="s">
        <v>2025</v>
      </c>
      <c r="BK26" s="105"/>
      <c r="BL26" s="106"/>
      <c r="BM26" s="105"/>
      <c r="BN26" s="106"/>
      <c r="BO26" s="105"/>
      <c r="BP26" s="106"/>
      <c r="BQ26" s="48">
        <v>4</v>
      </c>
      <c r="BR26" s="49">
        <v>100</v>
      </c>
      <c r="BS26" s="48">
        <v>4</v>
      </c>
      <c r="BT26" s="63" t="str">
        <f>REPLACE(INDEX(GroupVertices[Group],MATCH(Vertices[[#This Row],[Vertex]],GroupVertices[Vertex],0)),1,1,"")</f>
        <v>3</v>
      </c>
      <c r="BU26" s="138" t="s">
        <v>1428</v>
      </c>
      <c r="BV26" s="48">
        <v>0</v>
      </c>
      <c r="BW26" s="49">
        <v>0</v>
      </c>
      <c r="BX26" s="48">
        <v>0</v>
      </c>
      <c r="BY26" s="49">
        <v>0</v>
      </c>
      <c r="BZ26" s="48">
        <v>0</v>
      </c>
      <c r="CA26" s="49">
        <v>0</v>
      </c>
      <c r="CB26" s="107"/>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3">
        <v>12077</v>
      </c>
      <c r="DJ26" s="63">
        <v>2033</v>
      </c>
      <c r="DK26" s="63" t="b">
        <v>1</v>
      </c>
      <c r="DL26" s="63"/>
      <c r="DM26" s="63"/>
      <c r="DN26" s="63" t="b">
        <v>1</v>
      </c>
      <c r="DO26" s="63" t="b">
        <v>1</v>
      </c>
      <c r="DP26" s="63" t="b">
        <v>1</v>
      </c>
      <c r="DQ26" s="63" t="b">
        <v>0</v>
      </c>
      <c r="DR26" s="63" t="b">
        <v>0</v>
      </c>
      <c r="DS26" s="63"/>
      <c r="DT26" s="63" t="s">
        <v>1687</v>
      </c>
      <c r="DU26" s="63" t="b">
        <v>0</v>
      </c>
      <c r="DV26" s="63"/>
    </row>
    <row r="27" spans="1:126" ht="41.45" customHeight="1">
      <c r="A27" s="62" t="s">
        <v>910</v>
      </c>
      <c r="B27" s="64"/>
      <c r="C27" s="78"/>
      <c r="D27" s="78" t="s">
        <v>64</v>
      </c>
      <c r="E27" s="84">
        <v>162.06882646884137</v>
      </c>
      <c r="F27" s="112">
        <v>99.99974837222253</v>
      </c>
      <c r="G27" s="69" t="str">
        <f>HYPERLINK("https://pbs.twimg.com/profile_images/1689674972329885696/yAjeFUKL_normal.jpg")</f>
        <v>https://pbs.twimg.com/profile_images/1689674972329885696/yAjeFUKL_normal.jpg</v>
      </c>
      <c r="H27" s="113"/>
      <c r="I27" s="70" t="s">
        <v>910</v>
      </c>
      <c r="J27" s="114"/>
      <c r="K27" s="114"/>
      <c r="L27" s="70" t="s">
        <v>1713</v>
      </c>
      <c r="M27" s="115">
        <v>1.0838591506392847</v>
      </c>
      <c r="N27" s="91">
        <v>6022.33837890625</v>
      </c>
      <c r="O27" s="91">
        <v>7877.26123046875</v>
      </c>
      <c r="P27" s="92"/>
      <c r="Q27" s="93"/>
      <c r="R27" s="93"/>
      <c r="S27" s="116"/>
      <c r="T27" s="48">
        <v>1</v>
      </c>
      <c r="U27" s="48">
        <v>1</v>
      </c>
      <c r="V27" s="49">
        <v>10</v>
      </c>
      <c r="W27" s="49">
        <v>0.051136</v>
      </c>
      <c r="X27" s="49">
        <v>0</v>
      </c>
      <c r="Y27" s="49">
        <v>0.014873</v>
      </c>
      <c r="Z27" s="49">
        <v>0</v>
      </c>
      <c r="AA27" s="49">
        <v>0</v>
      </c>
      <c r="AB27" s="88">
        <v>27</v>
      </c>
      <c r="AC27" s="135"/>
      <c r="AD27" s="89"/>
      <c r="AE27" s="64" t="s">
        <v>1477</v>
      </c>
      <c r="AF27" s="64">
        <v>986</v>
      </c>
      <c r="AG27" s="64">
        <v>1313</v>
      </c>
      <c r="AH27" s="64">
        <v>49398</v>
      </c>
      <c r="AI27" s="64"/>
      <c r="AJ27" s="64"/>
      <c r="AK27" s="64" t="s">
        <v>1605</v>
      </c>
      <c r="AL27" s="64" t="s">
        <v>1556</v>
      </c>
      <c r="AM27" s="64"/>
      <c r="AN27" s="64"/>
      <c r="AO27" s="110">
        <v>44279.9759375</v>
      </c>
      <c r="AP27" s="111" t="str">
        <f>HYPERLINK("https://pbs.twimg.com/profile_banners/1374864906672091137/1638199796")</f>
        <v>https://pbs.twimg.com/profile_banners/1374864906672091137/1638199796</v>
      </c>
      <c r="AQ27" s="64" t="b">
        <v>1</v>
      </c>
      <c r="AR27" s="64" t="b">
        <v>0</v>
      </c>
      <c r="AS27" s="64"/>
      <c r="AT27" s="64"/>
      <c r="AU27" s="64">
        <v>4</v>
      </c>
      <c r="AV27" s="64"/>
      <c r="AW27" s="64" t="b">
        <v>0</v>
      </c>
      <c r="AX27" s="64" t="s">
        <v>1689</v>
      </c>
      <c r="AY27" s="111" t="str">
        <f>HYPERLINK("https://twitter.com/tdflakes")</f>
        <v>https://twitter.com/tdflakes</v>
      </c>
      <c r="AZ27" s="104" t="s">
        <v>66</v>
      </c>
      <c r="BA27" s="48"/>
      <c r="BB27" s="48"/>
      <c r="BC27" s="48"/>
      <c r="BD27" s="48"/>
      <c r="BE27" s="48"/>
      <c r="BF27" s="48"/>
      <c r="BG27" s="83" t="s">
        <v>1981</v>
      </c>
      <c r="BH27" s="83" t="s">
        <v>1981</v>
      </c>
      <c r="BI27" s="83" t="s">
        <v>2026</v>
      </c>
      <c r="BJ27" s="83" t="s">
        <v>2026</v>
      </c>
      <c r="BK27" s="105"/>
      <c r="BL27" s="106"/>
      <c r="BM27" s="105"/>
      <c r="BN27" s="106"/>
      <c r="BO27" s="105"/>
      <c r="BP27" s="106"/>
      <c r="BQ27" s="48">
        <v>3</v>
      </c>
      <c r="BR27" s="49">
        <v>60</v>
      </c>
      <c r="BS27" s="48">
        <v>5</v>
      </c>
      <c r="BT27" s="63" t="str">
        <f>REPLACE(INDEX(GroupVertices[Group],MATCH(Vertices[[#This Row],[Vertex]],GroupVertices[Vertex],0)),1,1,"")</f>
        <v>3</v>
      </c>
      <c r="BU27" s="138" t="s">
        <v>1429</v>
      </c>
      <c r="BV27" s="48">
        <v>0</v>
      </c>
      <c r="BW27" s="49">
        <v>0</v>
      </c>
      <c r="BX27" s="48">
        <v>0</v>
      </c>
      <c r="BY27" s="49">
        <v>0</v>
      </c>
      <c r="BZ27" s="48">
        <v>0</v>
      </c>
      <c r="CA27" s="49">
        <v>0</v>
      </c>
      <c r="CB27" s="107"/>
      <c r="CC27" s="64"/>
      <c r="CD27" s="64"/>
      <c r="CE27" s="64"/>
      <c r="CF27" s="64"/>
      <c r="CG27" s="64"/>
      <c r="CH27" s="64"/>
      <c r="CI27" s="64"/>
      <c r="CJ27" s="64"/>
      <c r="CK27" s="64"/>
      <c r="CL27" s="64"/>
      <c r="CM27" s="64">
        <v>1.68964088322922E+18</v>
      </c>
      <c r="CN27" s="64"/>
      <c r="CO27" s="64"/>
      <c r="CP27" s="64"/>
      <c r="CQ27" s="64"/>
      <c r="CR27" s="64"/>
      <c r="CS27" s="64"/>
      <c r="CT27" s="64"/>
      <c r="CU27" s="64"/>
      <c r="CV27" s="64"/>
      <c r="CW27" s="64"/>
      <c r="CX27" s="64"/>
      <c r="CY27" s="64"/>
      <c r="CZ27" s="64"/>
      <c r="DA27" s="64"/>
      <c r="DB27" s="64"/>
      <c r="DC27" s="64"/>
      <c r="DD27" s="64"/>
      <c r="DE27" s="64"/>
      <c r="DF27" s="64"/>
      <c r="DG27" s="64"/>
      <c r="DH27" s="64"/>
      <c r="DI27" s="63">
        <v>38429</v>
      </c>
      <c r="DJ27" s="63">
        <v>3050</v>
      </c>
      <c r="DK27" s="63" t="b">
        <v>0</v>
      </c>
      <c r="DL27" s="63"/>
      <c r="DM27" s="63"/>
      <c r="DN27" s="63" t="b">
        <v>1</v>
      </c>
      <c r="DO27" s="63" t="b">
        <v>0</v>
      </c>
      <c r="DP27" s="63" t="b">
        <v>1</v>
      </c>
      <c r="DQ27" s="63" t="b">
        <v>0</v>
      </c>
      <c r="DR27" s="63" t="b">
        <v>0</v>
      </c>
      <c r="DS27" s="63"/>
      <c r="DT27" s="63" t="s">
        <v>1687</v>
      </c>
      <c r="DU27" s="63" t="b">
        <v>0</v>
      </c>
      <c r="DV27" s="63"/>
    </row>
    <row r="28" spans="1:126" ht="41.45" customHeight="1">
      <c r="A28" s="62" t="s">
        <v>911</v>
      </c>
      <c r="B28" s="64"/>
      <c r="C28" s="78"/>
      <c r="D28" s="78" t="s">
        <v>64</v>
      </c>
      <c r="E28" s="84">
        <v>162</v>
      </c>
      <c r="F28" s="112">
        <v>100</v>
      </c>
      <c r="G28" s="69" t="str">
        <f>HYPERLINK("https://pbs.twimg.com/profile_images/1679937749871149101/2IUyEG_L_normal.jpg")</f>
        <v>https://pbs.twimg.com/profile_images/1679937749871149101/2IUyEG_L_normal.jpg</v>
      </c>
      <c r="H28" s="113"/>
      <c r="I28" s="70" t="s">
        <v>911</v>
      </c>
      <c r="J28" s="114"/>
      <c r="K28" s="114"/>
      <c r="L28" s="70" t="s">
        <v>1714</v>
      </c>
      <c r="M28" s="115">
        <v>1</v>
      </c>
      <c r="N28" s="91">
        <v>7836.8369140625</v>
      </c>
      <c r="O28" s="91">
        <v>3927.55859375</v>
      </c>
      <c r="P28" s="92"/>
      <c r="Q28" s="93"/>
      <c r="R28" s="93"/>
      <c r="S28" s="116"/>
      <c r="T28" s="48">
        <v>1</v>
      </c>
      <c r="U28" s="48">
        <v>1</v>
      </c>
      <c r="V28" s="49">
        <v>0</v>
      </c>
      <c r="W28" s="49">
        <v>0</v>
      </c>
      <c r="X28" s="49">
        <v>0</v>
      </c>
      <c r="Y28" s="49">
        <v>0.015385</v>
      </c>
      <c r="Z28" s="49">
        <v>0</v>
      </c>
      <c r="AA28" s="49">
        <v>0</v>
      </c>
      <c r="AB28" s="88">
        <v>28</v>
      </c>
      <c r="AC28" s="135"/>
      <c r="AD28" s="89"/>
      <c r="AE28" s="64" t="s">
        <v>1478</v>
      </c>
      <c r="AF28" s="64">
        <v>10</v>
      </c>
      <c r="AG28" s="64">
        <v>0</v>
      </c>
      <c r="AH28" s="64">
        <v>12</v>
      </c>
      <c r="AI28" s="64"/>
      <c r="AJ28" s="64"/>
      <c r="AK28" s="64" t="s">
        <v>1606</v>
      </c>
      <c r="AL28" s="64"/>
      <c r="AM28" s="64"/>
      <c r="AN28" s="64"/>
      <c r="AO28" s="110">
        <v>45121.81600694444</v>
      </c>
      <c r="AP28" s="111" t="str">
        <f>HYPERLINK("https://pbs.twimg.com/profile_banners/1679937513316597762/1689364145")</f>
        <v>https://pbs.twimg.com/profile_banners/1679937513316597762/1689364145</v>
      </c>
      <c r="AQ28" s="64" t="b">
        <v>1</v>
      </c>
      <c r="AR28" s="64" t="b">
        <v>0</v>
      </c>
      <c r="AS28" s="64"/>
      <c r="AT28" s="64"/>
      <c r="AU28" s="64">
        <v>0</v>
      </c>
      <c r="AV28" s="64"/>
      <c r="AW28" s="64" t="b">
        <v>0</v>
      </c>
      <c r="AX28" s="64" t="s">
        <v>1689</v>
      </c>
      <c r="AY28" s="111" t="str">
        <f>HYPERLINK("https://twitter.com/jeremyl12866")</f>
        <v>https://twitter.com/jeremyl12866</v>
      </c>
      <c r="AZ28" s="104" t="s">
        <v>66</v>
      </c>
      <c r="BA28" s="48" t="s">
        <v>1778</v>
      </c>
      <c r="BB28" s="48" t="s">
        <v>1778</v>
      </c>
      <c r="BC28" s="48" t="s">
        <v>1086</v>
      </c>
      <c r="BD28" s="48" t="s">
        <v>1086</v>
      </c>
      <c r="BE28" s="48"/>
      <c r="BF28" s="48"/>
      <c r="BG28" s="83" t="s">
        <v>1982</v>
      </c>
      <c r="BH28" s="83" t="s">
        <v>1982</v>
      </c>
      <c r="BI28" s="83" t="s">
        <v>2027</v>
      </c>
      <c r="BJ28" s="83" t="s">
        <v>2027</v>
      </c>
      <c r="BK28" s="105"/>
      <c r="BL28" s="106"/>
      <c r="BM28" s="105"/>
      <c r="BN28" s="106"/>
      <c r="BO28" s="105"/>
      <c r="BP28" s="106"/>
      <c r="BQ28" s="48">
        <v>2</v>
      </c>
      <c r="BR28" s="49">
        <v>33.333333333333336</v>
      </c>
      <c r="BS28" s="48">
        <v>6</v>
      </c>
      <c r="BT28" s="63" t="str">
        <f>REPLACE(INDEX(GroupVertices[Group],MATCH(Vertices[[#This Row],[Vertex]],GroupVertices[Vertex],0)),1,1,"")</f>
        <v>14</v>
      </c>
      <c r="BU28" s="138" t="s">
        <v>1430</v>
      </c>
      <c r="BV28" s="48">
        <v>0</v>
      </c>
      <c r="BW28" s="49">
        <v>0</v>
      </c>
      <c r="BX28" s="48">
        <v>0</v>
      </c>
      <c r="BY28" s="49">
        <v>0</v>
      </c>
      <c r="BZ28" s="48">
        <v>0</v>
      </c>
      <c r="CA28" s="49">
        <v>0</v>
      </c>
      <c r="CB28" s="107"/>
      <c r="CC28" s="64"/>
      <c r="CD28" s="64"/>
      <c r="CE28" s="64"/>
      <c r="CF28" s="64"/>
      <c r="CG28" s="64"/>
      <c r="CH28" s="64"/>
      <c r="CI28" s="64"/>
      <c r="CJ28" s="64"/>
      <c r="CK28" s="64"/>
      <c r="CL28" s="64"/>
      <c r="CM28" s="64">
        <v>1.68045101956875E+18</v>
      </c>
      <c r="CN28" s="64"/>
      <c r="CO28" s="64"/>
      <c r="CP28" s="64"/>
      <c r="CQ28" s="64"/>
      <c r="CR28" s="64"/>
      <c r="CS28" s="64"/>
      <c r="CT28" s="64"/>
      <c r="CU28" s="64"/>
      <c r="CV28" s="64"/>
      <c r="CW28" s="64"/>
      <c r="CX28" s="64"/>
      <c r="CY28" s="64"/>
      <c r="CZ28" s="64"/>
      <c r="DA28" s="64"/>
      <c r="DB28" s="64"/>
      <c r="DC28" s="64"/>
      <c r="DD28" s="64"/>
      <c r="DE28" s="64"/>
      <c r="DF28" s="64"/>
      <c r="DG28" s="64"/>
      <c r="DH28" s="64"/>
      <c r="DI28" s="63">
        <v>36</v>
      </c>
      <c r="DJ28" s="63">
        <v>3</v>
      </c>
      <c r="DK28" s="63" t="b">
        <v>0</v>
      </c>
      <c r="DL28" s="63"/>
      <c r="DM28" s="63"/>
      <c r="DN28" s="63" t="b">
        <v>0</v>
      </c>
      <c r="DO28" s="63" t="b">
        <v>1</v>
      </c>
      <c r="DP28" s="63" t="b">
        <v>0</v>
      </c>
      <c r="DQ28" s="63" t="b">
        <v>0</v>
      </c>
      <c r="DR28" s="63" t="b">
        <v>0</v>
      </c>
      <c r="DS28" s="63"/>
      <c r="DT28" s="63" t="s">
        <v>1687</v>
      </c>
      <c r="DU28" s="63" t="b">
        <v>0</v>
      </c>
      <c r="DV28" s="63"/>
    </row>
    <row r="29" spans="1:126" ht="41.45" customHeight="1">
      <c r="A29" s="62" t="s">
        <v>912</v>
      </c>
      <c r="B29" s="64"/>
      <c r="C29" s="78"/>
      <c r="D29" s="78" t="s">
        <v>64</v>
      </c>
      <c r="E29" s="84">
        <v>162.00041935396095</v>
      </c>
      <c r="F29" s="112">
        <v>99.99999846685284</v>
      </c>
      <c r="G29" s="69" t="str">
        <f>HYPERLINK("https://pbs.twimg.com/profile_images/1513373213803544577/K_sgK4wm_normal.jpg")</f>
        <v>https://pbs.twimg.com/profile_images/1513373213803544577/K_sgK4wm_normal.jpg</v>
      </c>
      <c r="H29" s="113"/>
      <c r="I29" s="70" t="s">
        <v>912</v>
      </c>
      <c r="J29" s="114"/>
      <c r="K29" s="114"/>
      <c r="L29" s="70" t="s">
        <v>1715</v>
      </c>
      <c r="M29" s="115">
        <v>1.0005109468431945</v>
      </c>
      <c r="N29" s="91">
        <v>4494.544921875</v>
      </c>
      <c r="O29" s="91">
        <v>5032.32958984375</v>
      </c>
      <c r="P29" s="92"/>
      <c r="Q29" s="93"/>
      <c r="R29" s="93"/>
      <c r="S29" s="116"/>
      <c r="T29" s="48">
        <v>0</v>
      </c>
      <c r="U29" s="48">
        <v>5</v>
      </c>
      <c r="V29" s="49">
        <v>20</v>
      </c>
      <c r="W29" s="49">
        <v>0.078125</v>
      </c>
      <c r="X29" s="49">
        <v>0</v>
      </c>
      <c r="Y29" s="49">
        <v>0.020515</v>
      </c>
      <c r="Z29" s="49">
        <v>0</v>
      </c>
      <c r="AA29" s="49">
        <v>0</v>
      </c>
      <c r="AB29" s="88">
        <v>29</v>
      </c>
      <c r="AC29" s="135"/>
      <c r="AD29" s="89"/>
      <c r="AE29" s="64" t="s">
        <v>1479</v>
      </c>
      <c r="AF29" s="64">
        <v>145</v>
      </c>
      <c r="AG29" s="64">
        <v>8</v>
      </c>
      <c r="AH29" s="64">
        <v>51</v>
      </c>
      <c r="AI29" s="64"/>
      <c r="AJ29" s="64"/>
      <c r="AK29" s="64" t="s">
        <v>1607</v>
      </c>
      <c r="AL29" s="64"/>
      <c r="AM29" s="64"/>
      <c r="AN29" s="64"/>
      <c r="AO29" s="110">
        <v>44662.18502314815</v>
      </c>
      <c r="AP29" s="64"/>
      <c r="AQ29" s="64" t="b">
        <v>1</v>
      </c>
      <c r="AR29" s="64" t="b">
        <v>0</v>
      </c>
      <c r="AS29" s="64"/>
      <c r="AT29" s="64"/>
      <c r="AU29" s="64">
        <v>0</v>
      </c>
      <c r="AV29" s="64"/>
      <c r="AW29" s="64" t="b">
        <v>0</v>
      </c>
      <c r="AX29" s="64" t="s">
        <v>1689</v>
      </c>
      <c r="AY29" s="111" t="str">
        <f>HYPERLINK("https://twitter.com/jeremyl21457481")</f>
        <v>https://twitter.com/jeremyl21457481</v>
      </c>
      <c r="AZ29" s="104" t="s">
        <v>66</v>
      </c>
      <c r="BA29" s="48" t="s">
        <v>1762</v>
      </c>
      <c r="BB29" s="48" t="s">
        <v>1762</v>
      </c>
      <c r="BC29" s="48" t="s">
        <v>1087</v>
      </c>
      <c r="BD29" s="48" t="s">
        <v>1087</v>
      </c>
      <c r="BE29" s="48"/>
      <c r="BF29" s="48"/>
      <c r="BG29" s="83" t="s">
        <v>1983</v>
      </c>
      <c r="BH29" s="83" t="s">
        <v>2012</v>
      </c>
      <c r="BI29" s="83" t="s">
        <v>2028</v>
      </c>
      <c r="BJ29" s="83" t="s">
        <v>2028</v>
      </c>
      <c r="BK29" s="105"/>
      <c r="BL29" s="106"/>
      <c r="BM29" s="105"/>
      <c r="BN29" s="106"/>
      <c r="BO29" s="105"/>
      <c r="BP29" s="106"/>
      <c r="BQ29" s="48">
        <v>54</v>
      </c>
      <c r="BR29" s="49">
        <v>55.10204081632653</v>
      </c>
      <c r="BS29" s="48">
        <v>98</v>
      </c>
      <c r="BT29" s="63" t="str">
        <f>REPLACE(INDEX(GroupVertices[Group],MATCH(Vertices[[#This Row],[Vertex]],GroupVertices[Vertex],0)),1,1,"")</f>
        <v>4</v>
      </c>
      <c r="BU29" s="138" t="s">
        <v>1431</v>
      </c>
      <c r="BV29" s="48">
        <v>0</v>
      </c>
      <c r="BW29" s="49">
        <v>0</v>
      </c>
      <c r="BX29" s="48">
        <v>0</v>
      </c>
      <c r="BY29" s="49">
        <v>0</v>
      </c>
      <c r="BZ29" s="48">
        <v>0</v>
      </c>
      <c r="CA29" s="49">
        <v>0</v>
      </c>
      <c r="CB29" s="107"/>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3">
        <v>165</v>
      </c>
      <c r="DJ29" s="63">
        <v>1</v>
      </c>
      <c r="DK29" s="63" t="b">
        <v>0</v>
      </c>
      <c r="DL29" s="63"/>
      <c r="DM29" s="63"/>
      <c r="DN29" s="63" t="b">
        <v>0</v>
      </c>
      <c r="DO29" s="63" t="b">
        <v>1</v>
      </c>
      <c r="DP29" s="63" t="b">
        <v>0</v>
      </c>
      <c r="DQ29" s="63" t="b">
        <v>0</v>
      </c>
      <c r="DR29" s="63" t="b">
        <v>0</v>
      </c>
      <c r="DS29" s="63"/>
      <c r="DT29" s="63" t="s">
        <v>1687</v>
      </c>
      <c r="DU29" s="63" t="b">
        <v>0</v>
      </c>
      <c r="DV29" s="63"/>
    </row>
    <row r="30" spans="1:126" ht="41.45" customHeight="1">
      <c r="A30" s="62" t="s">
        <v>952</v>
      </c>
      <c r="B30" s="64"/>
      <c r="C30" s="78"/>
      <c r="D30" s="78" t="s">
        <v>64</v>
      </c>
      <c r="E30" s="84">
        <v>169.45564165253234</v>
      </c>
      <c r="F30" s="112">
        <v>99.97274236830327</v>
      </c>
      <c r="G30" s="69" t="str">
        <f>HYPERLINK("https://pbs.twimg.com/profile_images/1665349586318245891/5IOXb2c-_normal.jpg")</f>
        <v>https://pbs.twimg.com/profile_images/1665349586318245891/5IOXb2c-_normal.jpg</v>
      </c>
      <c r="H30" s="113"/>
      <c r="I30" s="70" t="s">
        <v>952</v>
      </c>
      <c r="J30" s="114"/>
      <c r="K30" s="114"/>
      <c r="L30" s="70" t="s">
        <v>1716</v>
      </c>
      <c r="M30" s="115">
        <v>10.084060056798247</v>
      </c>
      <c r="N30" s="91">
        <v>4047.068359375</v>
      </c>
      <c r="O30" s="91">
        <v>3558.671875</v>
      </c>
      <c r="P30" s="92"/>
      <c r="Q30" s="93"/>
      <c r="R30" s="93"/>
      <c r="S30" s="116"/>
      <c r="T30" s="48">
        <v>1</v>
      </c>
      <c r="U30" s="48">
        <v>0</v>
      </c>
      <c r="V30" s="49">
        <v>0</v>
      </c>
      <c r="W30" s="49">
        <v>0.043403</v>
      </c>
      <c r="X30" s="49">
        <v>0</v>
      </c>
      <c r="Y30" s="49">
        <v>0.013692</v>
      </c>
      <c r="Z30" s="49">
        <v>0</v>
      </c>
      <c r="AA30" s="49">
        <v>0</v>
      </c>
      <c r="AB30" s="88">
        <v>30</v>
      </c>
      <c r="AC30" s="135"/>
      <c r="AD30" s="89"/>
      <c r="AE30" s="64" t="s">
        <v>1480</v>
      </c>
      <c r="AF30" s="64">
        <v>1</v>
      </c>
      <c r="AG30" s="64">
        <v>142231</v>
      </c>
      <c r="AH30" s="64">
        <v>588</v>
      </c>
      <c r="AI30" s="64"/>
      <c r="AJ30" s="64"/>
      <c r="AK30" s="64" t="s">
        <v>1608</v>
      </c>
      <c r="AL30" s="64"/>
      <c r="AM30" s="64"/>
      <c r="AN30" s="64"/>
      <c r="AO30" s="110">
        <v>45081.55673611111</v>
      </c>
      <c r="AP30" s="111" t="str">
        <f>HYPERLINK("https://pbs.twimg.com/profile_banners/1665347698210242567/1685885690")</f>
        <v>https://pbs.twimg.com/profile_banners/1665347698210242567/1685885690</v>
      </c>
      <c r="AQ30" s="64" t="b">
        <v>1</v>
      </c>
      <c r="AR30" s="64" t="b">
        <v>0</v>
      </c>
      <c r="AS30" s="64"/>
      <c r="AT30" s="64"/>
      <c r="AU30" s="64">
        <v>234</v>
      </c>
      <c r="AV30" s="64"/>
      <c r="AW30" s="64" t="b">
        <v>0</v>
      </c>
      <c r="AX30" s="64" t="s">
        <v>1689</v>
      </c>
      <c r="AY30" s="111" t="str">
        <f>HYPERLINK("https://twitter.com/aocpresstwo")</f>
        <v>https://twitter.com/aocpresstwo</v>
      </c>
      <c r="AZ30" s="104" t="s">
        <v>65</v>
      </c>
      <c r="BA30" s="48"/>
      <c r="BB30" s="48"/>
      <c r="BC30" s="48"/>
      <c r="BD30" s="48"/>
      <c r="BE30" s="48"/>
      <c r="BF30" s="48"/>
      <c r="BG30" s="48"/>
      <c r="BH30" s="48"/>
      <c r="BI30" s="48"/>
      <c r="BJ30" s="48"/>
      <c r="BK30" s="105"/>
      <c r="BL30" s="106"/>
      <c r="BM30" s="105"/>
      <c r="BN30" s="106"/>
      <c r="BO30" s="105"/>
      <c r="BP30" s="106"/>
      <c r="BQ30" s="48"/>
      <c r="BR30" s="49"/>
      <c r="BS30" s="48"/>
      <c r="BT30" s="63" t="str">
        <f>REPLACE(INDEX(GroupVertices[Group],MATCH(Vertices[[#This Row],[Vertex]],GroupVertices[Vertex],0)),1,1,"")</f>
        <v>4</v>
      </c>
      <c r="BU30" s="138" t="s">
        <v>1406</v>
      </c>
      <c r="BV30" s="48"/>
      <c r="BW30" s="49"/>
      <c r="BX30" s="48"/>
      <c r="BY30" s="49"/>
      <c r="BZ30" s="48"/>
      <c r="CA30" s="49"/>
      <c r="CB30" s="107"/>
      <c r="CC30" s="64"/>
      <c r="CD30" s="64"/>
      <c r="CE30" s="64"/>
      <c r="CF30" s="64"/>
      <c r="CG30" s="64"/>
      <c r="CH30" s="64"/>
      <c r="CI30" s="64"/>
      <c r="CJ30" s="64"/>
      <c r="CK30" s="64"/>
      <c r="CL30" s="64"/>
      <c r="CM30" s="64">
        <v>1.69829367985993E+18</v>
      </c>
      <c r="CN30" s="64"/>
      <c r="CO30" s="64"/>
      <c r="CP30" s="64"/>
      <c r="CQ30" s="64"/>
      <c r="CR30" s="64"/>
      <c r="CS30" s="64"/>
      <c r="CT30" s="64"/>
      <c r="CU30" s="64"/>
      <c r="CV30" s="64"/>
      <c r="CW30" s="64"/>
      <c r="CX30" s="64"/>
      <c r="CY30" s="64"/>
      <c r="CZ30" s="64"/>
      <c r="DA30" s="64"/>
      <c r="DB30" s="64"/>
      <c r="DC30" s="64"/>
      <c r="DD30" s="64"/>
      <c r="DE30" s="64"/>
      <c r="DF30" s="64"/>
      <c r="DG30" s="64"/>
      <c r="DH30" s="64"/>
      <c r="DI30" s="63">
        <v>444</v>
      </c>
      <c r="DJ30" s="63">
        <v>11</v>
      </c>
      <c r="DK30" s="63" t="b">
        <v>1</v>
      </c>
      <c r="DL30" s="63"/>
      <c r="DM30" s="63"/>
      <c r="DN30" s="63" t="b">
        <v>0</v>
      </c>
      <c r="DO30" s="63" t="b">
        <v>1</v>
      </c>
      <c r="DP30" s="63" t="b">
        <v>0</v>
      </c>
      <c r="DQ30" s="63" t="b">
        <v>0</v>
      </c>
      <c r="DR30" s="63" t="b">
        <v>0</v>
      </c>
      <c r="DS30" s="63"/>
      <c r="DT30" s="63" t="s">
        <v>1687</v>
      </c>
      <c r="DU30" s="63" t="b">
        <v>0</v>
      </c>
      <c r="DV30" s="63"/>
    </row>
    <row r="31" spans="1:126" ht="41.45" customHeight="1">
      <c r="A31" s="62" t="s">
        <v>913</v>
      </c>
      <c r="B31" s="64"/>
      <c r="C31" s="78"/>
      <c r="D31" s="78" t="s">
        <v>64</v>
      </c>
      <c r="E31" s="84">
        <v>288.1392077500415</v>
      </c>
      <c r="F31" s="112">
        <v>99.53883834180783</v>
      </c>
      <c r="G31" s="69" t="str">
        <f>HYPERLINK("https://pbs.twimg.com/profile_images/1688970162316390400/sFKiZ6G9_normal.jpg")</f>
        <v>https://pbs.twimg.com/profile_images/1688970162316390400/sFKiZ6G9_normal.jpg</v>
      </c>
      <c r="H31" s="113"/>
      <c r="I31" s="70" t="s">
        <v>913</v>
      </c>
      <c r="J31" s="114"/>
      <c r="K31" s="114"/>
      <c r="L31" s="70" t="s">
        <v>1717</v>
      </c>
      <c r="M31" s="115">
        <v>154.68980862017867</v>
      </c>
      <c r="N31" s="91">
        <v>5353.16259765625</v>
      </c>
      <c r="O31" s="91">
        <v>5765.88134765625</v>
      </c>
      <c r="P31" s="92"/>
      <c r="Q31" s="93"/>
      <c r="R31" s="93"/>
      <c r="S31" s="116"/>
      <c r="T31" s="48">
        <v>2</v>
      </c>
      <c r="U31" s="48">
        <v>1</v>
      </c>
      <c r="V31" s="49">
        <v>0</v>
      </c>
      <c r="W31" s="49">
        <v>0.043403</v>
      </c>
      <c r="X31" s="49">
        <v>0</v>
      </c>
      <c r="Y31" s="49">
        <v>0.014803</v>
      </c>
      <c r="Z31" s="49">
        <v>0</v>
      </c>
      <c r="AA31" s="49">
        <v>0</v>
      </c>
      <c r="AB31" s="88">
        <v>31</v>
      </c>
      <c r="AC31" s="135"/>
      <c r="AD31" s="89"/>
      <c r="AE31" s="64" t="s">
        <v>1481</v>
      </c>
      <c r="AF31" s="64">
        <v>449</v>
      </c>
      <c r="AG31" s="64">
        <v>2406353</v>
      </c>
      <c r="AH31" s="64">
        <v>56327</v>
      </c>
      <c r="AI31" s="64"/>
      <c r="AJ31" s="64"/>
      <c r="AK31" s="64" t="s">
        <v>1609</v>
      </c>
      <c r="AL31" s="64"/>
      <c r="AM31" s="64"/>
      <c r="AN31" s="64"/>
      <c r="AO31" s="110">
        <v>39962.85737268518</v>
      </c>
      <c r="AP31" s="111" t="str">
        <f>HYPERLINK("https://pbs.twimg.com/profile_banners/43403778/1691516841")</f>
        <v>https://pbs.twimg.com/profile_banners/43403778/1691516841</v>
      </c>
      <c r="AQ31" s="64" t="b">
        <v>0</v>
      </c>
      <c r="AR31" s="64" t="b">
        <v>0</v>
      </c>
      <c r="AS31" s="64"/>
      <c r="AT31" s="64"/>
      <c r="AU31" s="64">
        <v>11049</v>
      </c>
      <c r="AV31" s="64"/>
      <c r="AW31" s="64" t="b">
        <v>0</v>
      </c>
      <c r="AX31" s="64" t="s">
        <v>1689</v>
      </c>
      <c r="AY31" s="111" t="str">
        <f>HYPERLINK("https://twitter.com/49ers")</f>
        <v>https://twitter.com/49ers</v>
      </c>
      <c r="AZ31" s="104" t="s">
        <v>66</v>
      </c>
      <c r="BA31" s="48" t="s">
        <v>1762</v>
      </c>
      <c r="BB31" s="48" t="s">
        <v>1762</v>
      </c>
      <c r="BC31" s="48" t="s">
        <v>1087</v>
      </c>
      <c r="BD31" s="48" t="s">
        <v>1087</v>
      </c>
      <c r="BE31" s="48"/>
      <c r="BF31" s="48"/>
      <c r="BG31" s="83" t="s">
        <v>1984</v>
      </c>
      <c r="BH31" s="83" t="s">
        <v>1984</v>
      </c>
      <c r="BI31" s="83" t="s">
        <v>2029</v>
      </c>
      <c r="BJ31" s="83" t="s">
        <v>2029</v>
      </c>
      <c r="BK31" s="105"/>
      <c r="BL31" s="106"/>
      <c r="BM31" s="105"/>
      <c r="BN31" s="106"/>
      <c r="BO31" s="105"/>
      <c r="BP31" s="106"/>
      <c r="BQ31" s="48">
        <v>9</v>
      </c>
      <c r="BR31" s="49">
        <v>60</v>
      </c>
      <c r="BS31" s="48">
        <v>15</v>
      </c>
      <c r="BT31" s="63" t="str">
        <f>REPLACE(INDEX(GroupVertices[Group],MATCH(Vertices[[#This Row],[Vertex]],GroupVertices[Vertex],0)),1,1,"")</f>
        <v>4</v>
      </c>
      <c r="BU31" s="138" t="s">
        <v>1528</v>
      </c>
      <c r="BV31" s="48">
        <v>0</v>
      </c>
      <c r="BW31" s="49">
        <v>0</v>
      </c>
      <c r="BX31" s="48">
        <v>0</v>
      </c>
      <c r="BY31" s="49">
        <v>0</v>
      </c>
      <c r="BZ31" s="48">
        <v>0</v>
      </c>
      <c r="CA31" s="49">
        <v>0</v>
      </c>
      <c r="CB31" s="107"/>
      <c r="CC31" s="64"/>
      <c r="CD31" s="111" t="str">
        <f>HYPERLINK("https://t.co/fmRv5Jcmtr")</f>
        <v>https://t.co/fmRv5Jcmtr</v>
      </c>
      <c r="CE31" s="111" t="str">
        <f>HYPERLINK("http://49ers.com")</f>
        <v>http://49ers.com</v>
      </c>
      <c r="CF31" s="64" t="s">
        <v>1648</v>
      </c>
      <c r="CG31" s="64"/>
      <c r="CH31" s="64"/>
      <c r="CI31" s="64"/>
      <c r="CJ31" s="64"/>
      <c r="CK31" s="64"/>
      <c r="CL31" s="64"/>
      <c r="CM31" s="64">
        <v>1.70016209193445E+18</v>
      </c>
      <c r="CN31" s="111" t="str">
        <f>HYPERLINK("https://t.co/fmRv5Jcmtr")</f>
        <v>https://t.co/fmRv5Jcmtr</v>
      </c>
      <c r="CO31" s="64"/>
      <c r="CP31" s="64"/>
      <c r="CQ31" s="64"/>
      <c r="CR31" s="64"/>
      <c r="CS31" s="64"/>
      <c r="CT31" s="64"/>
      <c r="CU31" s="64"/>
      <c r="CV31" s="64"/>
      <c r="CW31" s="64"/>
      <c r="CX31" s="64"/>
      <c r="CY31" s="64"/>
      <c r="CZ31" s="64"/>
      <c r="DA31" s="64"/>
      <c r="DB31" s="64"/>
      <c r="DC31" s="64"/>
      <c r="DD31" s="64"/>
      <c r="DE31" s="64"/>
      <c r="DF31" s="64"/>
      <c r="DG31" s="64"/>
      <c r="DH31" s="64"/>
      <c r="DI31" s="63">
        <v>14836</v>
      </c>
      <c r="DJ31" s="63">
        <v>25675</v>
      </c>
      <c r="DK31" s="63" t="b">
        <v>1</v>
      </c>
      <c r="DL31" s="63"/>
      <c r="DM31" s="63"/>
      <c r="DN31" s="63" t="b">
        <v>1</v>
      </c>
      <c r="DO31" s="63" t="b">
        <v>1</v>
      </c>
      <c r="DP31" s="63" t="b">
        <v>1</v>
      </c>
      <c r="DQ31" s="63" t="b">
        <v>0</v>
      </c>
      <c r="DR31" s="63" t="b">
        <v>0</v>
      </c>
      <c r="DS31" s="63"/>
      <c r="DT31" s="63" t="s">
        <v>1687</v>
      </c>
      <c r="DU31" s="63" t="b">
        <v>0</v>
      </c>
      <c r="DV31" s="63"/>
    </row>
    <row r="32" spans="1:126" ht="41.45" customHeight="1">
      <c r="A32" s="62" t="s">
        <v>953</v>
      </c>
      <c r="B32" s="64"/>
      <c r="C32" s="78"/>
      <c r="D32" s="78" t="s">
        <v>64</v>
      </c>
      <c r="E32" s="84">
        <v>211.39931998852782</v>
      </c>
      <c r="F32" s="112">
        <v>99.81939737274537</v>
      </c>
      <c r="G32" s="69" t="str">
        <f>HYPERLINK("https://pbs.twimg.com/profile_images/1697299503198646273/GTnwCVUC_normal.jpg")</f>
        <v>https://pbs.twimg.com/profile_images/1697299503198646273/GTnwCVUC_normal.jpg</v>
      </c>
      <c r="H32" s="113"/>
      <c r="I32" s="70" t="s">
        <v>953</v>
      </c>
      <c r="J32" s="114"/>
      <c r="K32" s="114"/>
      <c r="L32" s="70" t="s">
        <v>1718</v>
      </c>
      <c r="M32" s="115">
        <v>61.188835576393636</v>
      </c>
      <c r="N32" s="91">
        <v>3552.699462890625</v>
      </c>
      <c r="O32" s="91">
        <v>5319.2392578125</v>
      </c>
      <c r="P32" s="92"/>
      <c r="Q32" s="93"/>
      <c r="R32" s="93"/>
      <c r="S32" s="116"/>
      <c r="T32" s="48">
        <v>1</v>
      </c>
      <c r="U32" s="48">
        <v>0</v>
      </c>
      <c r="V32" s="49">
        <v>0</v>
      </c>
      <c r="W32" s="49">
        <v>0.043403</v>
      </c>
      <c r="X32" s="49">
        <v>0</v>
      </c>
      <c r="Y32" s="49">
        <v>0.013692</v>
      </c>
      <c r="Z32" s="49">
        <v>0</v>
      </c>
      <c r="AA32" s="49">
        <v>0</v>
      </c>
      <c r="AB32" s="88">
        <v>32</v>
      </c>
      <c r="AC32" s="135"/>
      <c r="AD32" s="89"/>
      <c r="AE32" s="64" t="s">
        <v>1482</v>
      </c>
      <c r="AF32" s="64">
        <v>524</v>
      </c>
      <c r="AG32" s="64">
        <v>942389</v>
      </c>
      <c r="AH32" s="64">
        <v>9787</v>
      </c>
      <c r="AI32" s="64"/>
      <c r="AJ32" s="64"/>
      <c r="AK32" s="64" t="s">
        <v>1610</v>
      </c>
      <c r="AL32" s="64" t="s">
        <v>1557</v>
      </c>
      <c r="AM32" s="64"/>
      <c r="AN32" s="64"/>
      <c r="AO32" s="110">
        <v>44300.24193287037</v>
      </c>
      <c r="AP32" s="111" t="str">
        <f>HYPERLINK("https://pbs.twimg.com/profile_banners/1382209054999646212/1685520518")</f>
        <v>https://pbs.twimg.com/profile_banners/1382209054999646212/1685520518</v>
      </c>
      <c r="AQ32" s="64" t="b">
        <v>1</v>
      </c>
      <c r="AR32" s="64" t="b">
        <v>0</v>
      </c>
      <c r="AS32" s="64"/>
      <c r="AT32" s="64"/>
      <c r="AU32" s="64">
        <v>1040</v>
      </c>
      <c r="AV32" s="64"/>
      <c r="AW32" s="64" t="b">
        <v>0</v>
      </c>
      <c r="AX32" s="64" t="s">
        <v>1689</v>
      </c>
      <c r="AY32" s="111" t="str">
        <f>HYPERLINK("https://twitter.com/elonmuskaoc")</f>
        <v>https://twitter.com/elonmuskaoc</v>
      </c>
      <c r="AZ32" s="104" t="s">
        <v>65</v>
      </c>
      <c r="BA32" s="48"/>
      <c r="BB32" s="48"/>
      <c r="BC32" s="48"/>
      <c r="BD32" s="48"/>
      <c r="BE32" s="48"/>
      <c r="BF32" s="48"/>
      <c r="BG32" s="48"/>
      <c r="BH32" s="48"/>
      <c r="BI32" s="48"/>
      <c r="BJ32" s="48"/>
      <c r="BK32" s="105"/>
      <c r="BL32" s="106"/>
      <c r="BM32" s="105"/>
      <c r="BN32" s="106"/>
      <c r="BO32" s="105"/>
      <c r="BP32" s="106"/>
      <c r="BQ32" s="48"/>
      <c r="BR32" s="49"/>
      <c r="BS32" s="48"/>
      <c r="BT32" s="63" t="str">
        <f>REPLACE(INDEX(GroupVertices[Group],MATCH(Vertices[[#This Row],[Vertex]],GroupVertices[Vertex],0)),1,1,"")</f>
        <v>4</v>
      </c>
      <c r="BU32" s="138" t="s">
        <v>1407</v>
      </c>
      <c r="BV32" s="48"/>
      <c r="BW32" s="49"/>
      <c r="BX32" s="48"/>
      <c r="BY32" s="49"/>
      <c r="BZ32" s="48"/>
      <c r="CA32" s="49"/>
      <c r="CB32" s="107"/>
      <c r="CC32" s="64"/>
      <c r="CD32" s="64"/>
      <c r="CE32" s="64"/>
      <c r="CF32" s="64"/>
      <c r="CG32" s="64"/>
      <c r="CH32" s="64"/>
      <c r="CI32" s="64"/>
      <c r="CJ32" s="64"/>
      <c r="CK32" s="64"/>
      <c r="CL32" s="64"/>
      <c r="CM32" s="64">
        <v>1.67717122018446E+18</v>
      </c>
      <c r="CN32" s="64"/>
      <c r="CO32" s="64"/>
      <c r="CP32" s="64"/>
      <c r="CQ32" s="64"/>
      <c r="CR32" s="64"/>
      <c r="CS32" s="64"/>
      <c r="CT32" s="64"/>
      <c r="CU32" s="64"/>
      <c r="CV32" s="64"/>
      <c r="CW32" s="64"/>
      <c r="CX32" s="64"/>
      <c r="CY32" s="64"/>
      <c r="CZ32" s="64"/>
      <c r="DA32" s="64"/>
      <c r="DB32" s="64"/>
      <c r="DC32" s="64"/>
      <c r="DD32" s="64"/>
      <c r="DE32" s="64"/>
      <c r="DF32" s="64"/>
      <c r="DG32" s="64"/>
      <c r="DH32" s="64"/>
      <c r="DI32" s="63">
        <v>52740</v>
      </c>
      <c r="DJ32" s="63">
        <v>1106</v>
      </c>
      <c r="DK32" s="63" t="b">
        <v>1</v>
      </c>
      <c r="DL32" s="63"/>
      <c r="DM32" s="63"/>
      <c r="DN32" s="63" t="b">
        <v>1</v>
      </c>
      <c r="DO32" s="63" t="b">
        <v>1</v>
      </c>
      <c r="DP32" s="63" t="b">
        <v>1</v>
      </c>
      <c r="DQ32" s="63" t="b">
        <v>0</v>
      </c>
      <c r="DR32" s="63" t="b">
        <v>0</v>
      </c>
      <c r="DS32" s="63"/>
      <c r="DT32" s="63" t="s">
        <v>1687</v>
      </c>
      <c r="DU32" s="63" t="b">
        <v>0</v>
      </c>
      <c r="DV32" s="63"/>
    </row>
    <row r="33" spans="1:126" ht="41.45" customHeight="1">
      <c r="A33" s="62" t="s">
        <v>914</v>
      </c>
      <c r="B33" s="64"/>
      <c r="C33" s="78"/>
      <c r="D33" s="78" t="s">
        <v>64</v>
      </c>
      <c r="E33" s="84">
        <v>168.73540122459613</v>
      </c>
      <c r="F33" s="112">
        <v>99.97537554854887</v>
      </c>
      <c r="G33" s="69" t="str">
        <f>HYPERLINK("https://pbs.twimg.com/profile_images/847531820757405696/FUkQsZIP_normal.jpg")</f>
        <v>https://pbs.twimg.com/profile_images/847531820757405696/FUkQsZIP_normal.jpg</v>
      </c>
      <c r="H33" s="113"/>
      <c r="I33" s="70" t="s">
        <v>914</v>
      </c>
      <c r="J33" s="114"/>
      <c r="K33" s="114"/>
      <c r="L33" s="70" t="s">
        <v>1719</v>
      </c>
      <c r="M33" s="115">
        <v>9.206508853611826</v>
      </c>
      <c r="N33" s="91">
        <v>5159.8447265625</v>
      </c>
      <c r="O33" s="91">
        <v>3834.630126953125</v>
      </c>
      <c r="P33" s="92"/>
      <c r="Q33" s="93"/>
      <c r="R33" s="93"/>
      <c r="S33" s="116"/>
      <c r="T33" s="48">
        <v>2</v>
      </c>
      <c r="U33" s="48">
        <v>1</v>
      </c>
      <c r="V33" s="49">
        <v>0</v>
      </c>
      <c r="W33" s="49">
        <v>0.043403</v>
      </c>
      <c r="X33" s="49">
        <v>0</v>
      </c>
      <c r="Y33" s="49">
        <v>0.014803</v>
      </c>
      <c r="Z33" s="49">
        <v>0</v>
      </c>
      <c r="AA33" s="49">
        <v>0</v>
      </c>
      <c r="AB33" s="88">
        <v>33</v>
      </c>
      <c r="AC33" s="135"/>
      <c r="AD33" s="89"/>
      <c r="AE33" s="64" t="s">
        <v>1483</v>
      </c>
      <c r="AF33" s="64">
        <v>281</v>
      </c>
      <c r="AG33" s="64">
        <v>128491</v>
      </c>
      <c r="AH33" s="64">
        <v>35564</v>
      </c>
      <c r="AI33" s="64"/>
      <c r="AJ33" s="64"/>
      <c r="AK33" s="64" t="s">
        <v>1611</v>
      </c>
      <c r="AL33" s="64"/>
      <c r="AM33" s="64"/>
      <c r="AN33" s="64"/>
      <c r="AO33" s="110">
        <v>40043.77230324074</v>
      </c>
      <c r="AP33" s="111" t="str">
        <f>HYPERLINK("https://pbs.twimg.com/profile_banners/66758174/1665161399")</f>
        <v>https://pbs.twimg.com/profile_banners/66758174/1665161399</v>
      </c>
      <c r="AQ33" s="64" t="b">
        <v>0</v>
      </c>
      <c r="AR33" s="64" t="b">
        <v>0</v>
      </c>
      <c r="AS33" s="64"/>
      <c r="AT33" s="64"/>
      <c r="AU33" s="64">
        <v>1287</v>
      </c>
      <c r="AV33" s="64"/>
      <c r="AW33" s="64" t="b">
        <v>0</v>
      </c>
      <c r="AX33" s="64" t="s">
        <v>1689</v>
      </c>
      <c r="AY33" s="111" t="str">
        <f>HYPERLINK("https://twitter.com/nbcs49ers")</f>
        <v>https://twitter.com/nbcs49ers</v>
      </c>
      <c r="AZ33" s="104" t="s">
        <v>66</v>
      </c>
      <c r="BA33" s="48"/>
      <c r="BB33" s="48"/>
      <c r="BC33" s="48"/>
      <c r="BD33" s="48"/>
      <c r="BE33" s="48"/>
      <c r="BF33" s="48"/>
      <c r="BG33" s="83" t="s">
        <v>1985</v>
      </c>
      <c r="BH33" s="83" t="s">
        <v>1985</v>
      </c>
      <c r="BI33" s="83" t="s">
        <v>2030</v>
      </c>
      <c r="BJ33" s="83" t="s">
        <v>2030</v>
      </c>
      <c r="BK33" s="105"/>
      <c r="BL33" s="106"/>
      <c r="BM33" s="105"/>
      <c r="BN33" s="106"/>
      <c r="BO33" s="105"/>
      <c r="BP33" s="106"/>
      <c r="BQ33" s="48">
        <v>3</v>
      </c>
      <c r="BR33" s="49">
        <v>42.857142857142854</v>
      </c>
      <c r="BS33" s="48">
        <v>7</v>
      </c>
      <c r="BT33" s="63" t="str">
        <f>REPLACE(INDEX(GroupVertices[Group],MATCH(Vertices[[#This Row],[Vertex]],GroupVertices[Vertex],0)),1,1,"")</f>
        <v>4</v>
      </c>
      <c r="BU33" s="138" t="s">
        <v>1529</v>
      </c>
      <c r="BV33" s="48">
        <v>0</v>
      </c>
      <c r="BW33" s="49">
        <v>0</v>
      </c>
      <c r="BX33" s="48">
        <v>0</v>
      </c>
      <c r="BY33" s="49">
        <v>0</v>
      </c>
      <c r="BZ33" s="48">
        <v>0</v>
      </c>
      <c r="CA33" s="49">
        <v>0</v>
      </c>
      <c r="CB33" s="107"/>
      <c r="CC33" s="64"/>
      <c r="CD33" s="111" t="str">
        <f>HYPERLINK("https://t.co/H4YrUAqvTw")</f>
        <v>https://t.co/H4YrUAqvTw</v>
      </c>
      <c r="CE33" s="111" t="str">
        <f>HYPERLINK("https://www.nbcsportsbayarea.com/nfl/san-francisco-49ers/")</f>
        <v>https://www.nbcsportsbayarea.com/nfl/san-francisco-49ers/</v>
      </c>
      <c r="CF33" s="64" t="s">
        <v>1649</v>
      </c>
      <c r="CG33" s="64"/>
      <c r="CH33" s="64"/>
      <c r="CI33" s="64"/>
      <c r="CJ33" s="64"/>
      <c r="CK33" s="64"/>
      <c r="CL33" s="64"/>
      <c r="CM33" s="64"/>
      <c r="CN33" s="111" t="str">
        <f>HYPERLINK("https://t.co/H4YrUAqvTw")</f>
        <v>https://t.co/H4YrUAqvTw</v>
      </c>
      <c r="CO33" s="64"/>
      <c r="CP33" s="64"/>
      <c r="CQ33" s="64"/>
      <c r="CR33" s="64"/>
      <c r="CS33" s="64"/>
      <c r="CT33" s="64"/>
      <c r="CU33" s="64"/>
      <c r="CV33" s="64"/>
      <c r="CW33" s="64"/>
      <c r="CX33" s="64"/>
      <c r="CY33" s="64"/>
      <c r="CZ33" s="64"/>
      <c r="DA33" s="64"/>
      <c r="DB33" s="64"/>
      <c r="DC33" s="64"/>
      <c r="DD33" s="64"/>
      <c r="DE33" s="64"/>
      <c r="DF33" s="64"/>
      <c r="DG33" s="64"/>
      <c r="DH33" s="64"/>
      <c r="DI33" s="63">
        <v>295</v>
      </c>
      <c r="DJ33" s="63">
        <v>16617</v>
      </c>
      <c r="DK33" s="63" t="b">
        <v>1</v>
      </c>
      <c r="DL33" s="63"/>
      <c r="DM33" s="63"/>
      <c r="DN33" s="63" t="b">
        <v>0</v>
      </c>
      <c r="DO33" s="63" t="b">
        <v>1</v>
      </c>
      <c r="DP33" s="63" t="b">
        <v>0</v>
      </c>
      <c r="DQ33" s="63" t="b">
        <v>0</v>
      </c>
      <c r="DR33" s="63" t="b">
        <v>0</v>
      </c>
      <c r="DS33" s="63"/>
      <c r="DT33" s="63" t="s">
        <v>1687</v>
      </c>
      <c r="DU33" s="63" t="b">
        <v>0</v>
      </c>
      <c r="DV33" s="63"/>
    </row>
    <row r="34" spans="1:126" ht="41.45" customHeight="1">
      <c r="A34" s="62" t="s">
        <v>937</v>
      </c>
      <c r="B34" s="64"/>
      <c r="C34" s="78"/>
      <c r="D34" s="78" t="s">
        <v>64</v>
      </c>
      <c r="E34" s="84">
        <v>163.29936824801183</v>
      </c>
      <c r="F34" s="112">
        <v>99.99524954352779</v>
      </c>
      <c r="G34" s="69" t="str">
        <f>HYPERLINK("https://pbs.twimg.com/profile_images/1009290211891691520/1Fa713gj_normal.jpg")</f>
        <v>https://pbs.twimg.com/profile_images/1009290211891691520/1Fa713gj_normal.jpg</v>
      </c>
      <c r="H34" s="113"/>
      <c r="I34" s="70" t="s">
        <v>937</v>
      </c>
      <c r="J34" s="114"/>
      <c r="K34" s="114"/>
      <c r="L34" s="70" t="s">
        <v>1720</v>
      </c>
      <c r="M34" s="115">
        <v>2.5831687936379195</v>
      </c>
      <c r="N34" s="91">
        <v>4359.9404296875</v>
      </c>
      <c r="O34" s="91">
        <v>6683.359375</v>
      </c>
      <c r="P34" s="92"/>
      <c r="Q34" s="93"/>
      <c r="R34" s="93"/>
      <c r="S34" s="116"/>
      <c r="T34" s="48">
        <v>2</v>
      </c>
      <c r="U34" s="48">
        <v>1</v>
      </c>
      <c r="V34" s="49">
        <v>0</v>
      </c>
      <c r="W34" s="49">
        <v>0.043403</v>
      </c>
      <c r="X34" s="49">
        <v>0</v>
      </c>
      <c r="Y34" s="49">
        <v>0.014803</v>
      </c>
      <c r="Z34" s="49">
        <v>0</v>
      </c>
      <c r="AA34" s="49">
        <v>0</v>
      </c>
      <c r="AB34" s="88">
        <v>34</v>
      </c>
      <c r="AC34" s="135"/>
      <c r="AD34" s="89"/>
      <c r="AE34" s="64" t="s">
        <v>1484</v>
      </c>
      <c r="AF34" s="64">
        <v>2794</v>
      </c>
      <c r="AG34" s="64">
        <v>24788</v>
      </c>
      <c r="AH34" s="64">
        <v>56039</v>
      </c>
      <c r="AI34" s="64"/>
      <c r="AJ34" s="64"/>
      <c r="AK34" s="64" t="s">
        <v>1612</v>
      </c>
      <c r="AL34" s="64" t="s">
        <v>1558</v>
      </c>
      <c r="AM34" s="64"/>
      <c r="AN34" s="64"/>
      <c r="AO34" s="110">
        <v>40525.69945601852</v>
      </c>
      <c r="AP34" s="111" t="str">
        <f>HYPERLINK("https://pbs.twimg.com/profile_banners/226221523/1655264581")</f>
        <v>https://pbs.twimg.com/profile_banners/226221523/1655264581</v>
      </c>
      <c r="AQ34" s="64" t="b">
        <v>0</v>
      </c>
      <c r="AR34" s="64" t="b">
        <v>0</v>
      </c>
      <c r="AS34" s="64"/>
      <c r="AT34" s="64"/>
      <c r="AU34" s="64">
        <v>320</v>
      </c>
      <c r="AV34" s="64"/>
      <c r="AW34" s="64" t="b">
        <v>0</v>
      </c>
      <c r="AX34" s="64" t="s">
        <v>1689</v>
      </c>
      <c r="AY34" s="111" t="str">
        <f>HYPERLINK("https://twitter.com/jl_chapman")</f>
        <v>https://twitter.com/jl_chapman</v>
      </c>
      <c r="AZ34" s="104" t="s">
        <v>66</v>
      </c>
      <c r="BA34" s="48"/>
      <c r="BB34" s="48"/>
      <c r="BC34" s="48"/>
      <c r="BD34" s="48"/>
      <c r="BE34" s="48"/>
      <c r="BF34" s="48"/>
      <c r="BG34" s="83" t="s">
        <v>1986</v>
      </c>
      <c r="BH34" s="83" t="s">
        <v>1986</v>
      </c>
      <c r="BI34" s="83" t="s">
        <v>2031</v>
      </c>
      <c r="BJ34" s="83" t="s">
        <v>2031</v>
      </c>
      <c r="BK34" s="105"/>
      <c r="BL34" s="106"/>
      <c r="BM34" s="105"/>
      <c r="BN34" s="106"/>
      <c r="BO34" s="105"/>
      <c r="BP34" s="106"/>
      <c r="BQ34" s="48">
        <v>8</v>
      </c>
      <c r="BR34" s="49">
        <v>72.72727272727273</v>
      </c>
      <c r="BS34" s="48">
        <v>11</v>
      </c>
      <c r="BT34" s="63" t="str">
        <f>REPLACE(INDEX(GroupVertices[Group],MATCH(Vertices[[#This Row],[Vertex]],GroupVertices[Vertex],0)),1,1,"")</f>
        <v>4</v>
      </c>
      <c r="BU34" s="138" t="s">
        <v>1530</v>
      </c>
      <c r="BV34" s="48">
        <v>0</v>
      </c>
      <c r="BW34" s="49">
        <v>0</v>
      </c>
      <c r="BX34" s="48">
        <v>0</v>
      </c>
      <c r="BY34" s="49">
        <v>0</v>
      </c>
      <c r="BZ34" s="48">
        <v>0</v>
      </c>
      <c r="CA34" s="49">
        <v>0</v>
      </c>
      <c r="CB34" s="107"/>
      <c r="CC34" s="64"/>
      <c r="CD34" s="111" t="str">
        <f>HYPERLINK("https://t.co/Dw26Nr53cd")</f>
        <v>https://t.co/Dw26Nr53cd</v>
      </c>
      <c r="CE34" s="111" t="str">
        <f>HYPERLINK("https://the49ersrush.com/links")</f>
        <v>https://the49ersrush.com/links</v>
      </c>
      <c r="CF34" s="64" t="s">
        <v>1650</v>
      </c>
      <c r="CG34" s="111" t="str">
        <f>HYPERLINK("https://t.co/PPEwgRjYzD")</f>
        <v>https://t.co/PPEwgRjYzD</v>
      </c>
      <c r="CH34" s="111" t="str">
        <f>HYPERLINK("http://The49ersRush.com")</f>
        <v>http://The49ersRush.com</v>
      </c>
      <c r="CI34" s="64" t="s">
        <v>1680</v>
      </c>
      <c r="CJ34" s="64"/>
      <c r="CK34" s="64"/>
      <c r="CL34" s="64"/>
      <c r="CM34" s="64"/>
      <c r="CN34" s="111" t="str">
        <f>HYPERLINK("https://t.co/Dw26Nr53cd")</f>
        <v>https://t.co/Dw26Nr53cd</v>
      </c>
      <c r="CO34" s="64"/>
      <c r="CP34" s="64"/>
      <c r="CQ34" s="64"/>
      <c r="CR34" s="64"/>
      <c r="CS34" s="64"/>
      <c r="CT34" s="64"/>
      <c r="CU34" s="64"/>
      <c r="CV34" s="64"/>
      <c r="CW34" s="64"/>
      <c r="CX34" s="64"/>
      <c r="CY34" s="64"/>
      <c r="CZ34" s="64"/>
      <c r="DA34" s="64"/>
      <c r="DB34" s="64"/>
      <c r="DC34" s="64"/>
      <c r="DD34" s="64"/>
      <c r="DE34" s="64"/>
      <c r="DF34" s="64"/>
      <c r="DG34" s="64"/>
      <c r="DH34" s="64"/>
      <c r="DI34" s="63">
        <v>48931</v>
      </c>
      <c r="DJ34" s="63">
        <v>15435</v>
      </c>
      <c r="DK34" s="63" t="b">
        <v>1</v>
      </c>
      <c r="DL34" s="63"/>
      <c r="DM34" s="63"/>
      <c r="DN34" s="63" t="b">
        <v>1</v>
      </c>
      <c r="DO34" s="63" t="b">
        <v>1</v>
      </c>
      <c r="DP34" s="63" t="b">
        <v>1</v>
      </c>
      <c r="DQ34" s="63" t="b">
        <v>0</v>
      </c>
      <c r="DR34" s="63" t="b">
        <v>0</v>
      </c>
      <c r="DS34" s="63"/>
      <c r="DT34" s="63" t="s">
        <v>1687</v>
      </c>
      <c r="DU34" s="63" t="b">
        <v>0</v>
      </c>
      <c r="DV34" s="63"/>
    </row>
    <row r="35" spans="1:126" ht="41.45" customHeight="1">
      <c r="A35" s="62" t="s">
        <v>915</v>
      </c>
      <c r="B35" s="64"/>
      <c r="C35" s="78"/>
      <c r="D35" s="78" t="s">
        <v>64</v>
      </c>
      <c r="E35" s="84">
        <v>162.01106046072013</v>
      </c>
      <c r="F35" s="112">
        <v>99.99995956324368</v>
      </c>
      <c r="G35" s="69" t="str">
        <f>HYPERLINK("https://pbs.twimg.com/profile_images/1673635551541428224/F1spWyZM_normal.jpg")</f>
        <v>https://pbs.twimg.com/profile_images/1673635551541428224/F1spWyZM_normal.jpg</v>
      </c>
      <c r="H35" s="113"/>
      <c r="I35" s="70" t="s">
        <v>915</v>
      </c>
      <c r="J35" s="114"/>
      <c r="K35" s="114"/>
      <c r="L35" s="70" t="s">
        <v>1721</v>
      </c>
      <c r="M35" s="115">
        <v>1.0134762229892529</v>
      </c>
      <c r="N35" s="91">
        <v>2249.30224609375</v>
      </c>
      <c r="O35" s="91">
        <v>1902.32421875</v>
      </c>
      <c r="P35" s="92"/>
      <c r="Q35" s="93"/>
      <c r="R35" s="93"/>
      <c r="S35" s="116"/>
      <c r="T35" s="48">
        <v>1</v>
      </c>
      <c r="U35" s="48">
        <v>3</v>
      </c>
      <c r="V35" s="49">
        <v>22</v>
      </c>
      <c r="W35" s="49">
        <v>0.086538</v>
      </c>
      <c r="X35" s="49">
        <v>0.000105</v>
      </c>
      <c r="Y35" s="49">
        <v>0.016457</v>
      </c>
      <c r="Z35" s="49">
        <v>0</v>
      </c>
      <c r="AA35" s="49">
        <v>0</v>
      </c>
      <c r="AB35" s="88">
        <v>35</v>
      </c>
      <c r="AC35" s="135"/>
      <c r="AD35" s="89"/>
      <c r="AE35" s="64" t="s">
        <v>1485</v>
      </c>
      <c r="AF35" s="64">
        <v>1342</v>
      </c>
      <c r="AG35" s="64">
        <v>211</v>
      </c>
      <c r="AH35" s="64">
        <v>57786</v>
      </c>
      <c r="AI35" s="64"/>
      <c r="AJ35" s="64"/>
      <c r="AK35" s="64" t="s">
        <v>1613</v>
      </c>
      <c r="AL35" s="64" t="s">
        <v>1559</v>
      </c>
      <c r="AM35" s="64"/>
      <c r="AN35" s="64"/>
      <c r="AO35" s="110">
        <v>40925.74978009259</v>
      </c>
      <c r="AP35" s="111" t="str">
        <f>HYPERLINK("https://pbs.twimg.com/profile_banners/466698672/1687860786")</f>
        <v>https://pbs.twimg.com/profile_banners/466698672/1687860786</v>
      </c>
      <c r="AQ35" s="64" t="b">
        <v>0</v>
      </c>
      <c r="AR35" s="64" t="b">
        <v>0</v>
      </c>
      <c r="AS35" s="64"/>
      <c r="AT35" s="64"/>
      <c r="AU35" s="64">
        <v>4</v>
      </c>
      <c r="AV35" s="64"/>
      <c r="AW35" s="64" t="b">
        <v>0</v>
      </c>
      <c r="AX35" s="64" t="s">
        <v>1689</v>
      </c>
      <c r="AY35" s="111" t="str">
        <f>HYPERLINK("https://twitter.com/nassimretiere")</f>
        <v>https://twitter.com/nassimretiere</v>
      </c>
      <c r="AZ35" s="104" t="s">
        <v>66</v>
      </c>
      <c r="BA35" s="48" t="s">
        <v>1761</v>
      </c>
      <c r="BB35" s="48" t="s">
        <v>1761</v>
      </c>
      <c r="BC35" s="48" t="s">
        <v>1088</v>
      </c>
      <c r="BD35" s="48" t="s">
        <v>1088</v>
      </c>
      <c r="BE35" s="48"/>
      <c r="BF35" s="48"/>
      <c r="BG35" s="83" t="s">
        <v>1987</v>
      </c>
      <c r="BH35" s="83" t="s">
        <v>2013</v>
      </c>
      <c r="BI35" s="83" t="s">
        <v>2032</v>
      </c>
      <c r="BJ35" s="83" t="s">
        <v>2055</v>
      </c>
      <c r="BK35" s="105"/>
      <c r="BL35" s="106"/>
      <c r="BM35" s="105"/>
      <c r="BN35" s="106"/>
      <c r="BO35" s="105"/>
      <c r="BP35" s="106"/>
      <c r="BQ35" s="48">
        <v>5</v>
      </c>
      <c r="BR35" s="49">
        <v>83.33333333333333</v>
      </c>
      <c r="BS35" s="48">
        <v>6</v>
      </c>
      <c r="BT35" s="63" t="str">
        <f>REPLACE(INDEX(GroupVertices[Group],MATCH(Vertices[[#This Row],[Vertex]],GroupVertices[Vertex],0)),1,1,"")</f>
        <v>2</v>
      </c>
      <c r="BU35" s="138" t="s">
        <v>1531</v>
      </c>
      <c r="BV35" s="48">
        <v>0</v>
      </c>
      <c r="BW35" s="49">
        <v>0</v>
      </c>
      <c r="BX35" s="48">
        <v>0</v>
      </c>
      <c r="BY35" s="49">
        <v>0</v>
      </c>
      <c r="BZ35" s="48">
        <v>0</v>
      </c>
      <c r="CA35" s="49">
        <v>0</v>
      </c>
      <c r="CB35" s="107"/>
      <c r="CC35" s="64"/>
      <c r="CD35" s="64"/>
      <c r="CE35" s="64"/>
      <c r="CF35" s="64"/>
      <c r="CG35" s="64"/>
      <c r="CH35" s="64"/>
      <c r="CI35" s="64"/>
      <c r="CJ35" s="64"/>
      <c r="CK35" s="64"/>
      <c r="CL35" s="64"/>
      <c r="CM35" s="64">
        <v>1.69954473789041E+18</v>
      </c>
      <c r="CN35" s="64"/>
      <c r="CO35" s="64"/>
      <c r="CP35" s="64"/>
      <c r="CQ35" s="64"/>
      <c r="CR35" s="64"/>
      <c r="CS35" s="64"/>
      <c r="CT35" s="64"/>
      <c r="CU35" s="64"/>
      <c r="CV35" s="64"/>
      <c r="CW35" s="64"/>
      <c r="CX35" s="64"/>
      <c r="CY35" s="64"/>
      <c r="CZ35" s="64"/>
      <c r="DA35" s="64"/>
      <c r="DB35" s="64"/>
      <c r="DC35" s="64"/>
      <c r="DD35" s="64"/>
      <c r="DE35" s="64"/>
      <c r="DF35" s="64"/>
      <c r="DG35" s="64"/>
      <c r="DH35" s="64"/>
      <c r="DI35" s="63">
        <v>2249</v>
      </c>
      <c r="DJ35" s="63">
        <v>14867</v>
      </c>
      <c r="DK35" s="63" t="b">
        <v>0</v>
      </c>
      <c r="DL35" s="63"/>
      <c r="DM35" s="63"/>
      <c r="DN35" s="63" t="b">
        <v>0</v>
      </c>
      <c r="DO35" s="63" t="b">
        <v>1</v>
      </c>
      <c r="DP35" s="63" t="b">
        <v>1</v>
      </c>
      <c r="DQ35" s="63" t="b">
        <v>0</v>
      </c>
      <c r="DR35" s="63" t="b">
        <v>0</v>
      </c>
      <c r="DS35" s="63"/>
      <c r="DT35" s="63" t="s">
        <v>1687</v>
      </c>
      <c r="DU35" s="63" t="b">
        <v>0</v>
      </c>
      <c r="DV35" s="63"/>
    </row>
    <row r="36" spans="1:126" ht="41.45" customHeight="1">
      <c r="A36" s="62" t="s">
        <v>954</v>
      </c>
      <c r="B36" s="64"/>
      <c r="C36" s="78"/>
      <c r="D36" s="78" t="s">
        <v>64</v>
      </c>
      <c r="E36" s="84">
        <v>163.9357378837575</v>
      </c>
      <c r="F36" s="112">
        <v>99.99292299271399</v>
      </c>
      <c r="G36" s="69" t="str">
        <f>HYPERLINK("https://pbs.twimg.com/profile_images/1331610042748051458/8NtBN_eL_normal.jpg")</f>
        <v>https://pbs.twimg.com/profile_images/1331610042748051458/8NtBN_eL_normal.jpg</v>
      </c>
      <c r="H36" s="113"/>
      <c r="I36" s="70" t="s">
        <v>954</v>
      </c>
      <c r="J36" s="114"/>
      <c r="K36" s="114"/>
      <c r="L36" s="70" t="s">
        <v>1722</v>
      </c>
      <c r="M36" s="115">
        <v>3.3585306281854566</v>
      </c>
      <c r="N36" s="91">
        <v>3070.432373046875</v>
      </c>
      <c r="O36" s="91">
        <v>1690.4332275390625</v>
      </c>
      <c r="P36" s="92"/>
      <c r="Q36" s="93"/>
      <c r="R36" s="93"/>
      <c r="S36" s="116"/>
      <c r="T36" s="48">
        <v>1</v>
      </c>
      <c r="U36" s="48">
        <v>0</v>
      </c>
      <c r="V36" s="49">
        <v>0</v>
      </c>
      <c r="W36" s="49">
        <v>0.060811</v>
      </c>
      <c r="X36" s="49">
        <v>3.1E-05</v>
      </c>
      <c r="Y36" s="49">
        <v>0.0139</v>
      </c>
      <c r="Z36" s="49">
        <v>0</v>
      </c>
      <c r="AA36" s="49">
        <v>0</v>
      </c>
      <c r="AB36" s="88">
        <v>36</v>
      </c>
      <c r="AC36" s="135"/>
      <c r="AD36" s="89"/>
      <c r="AE36" s="64" t="s">
        <v>1486</v>
      </c>
      <c r="AF36" s="64">
        <v>38617</v>
      </c>
      <c r="AG36" s="64">
        <v>36928</v>
      </c>
      <c r="AH36" s="64">
        <v>213421</v>
      </c>
      <c r="AI36" s="64"/>
      <c r="AJ36" s="64"/>
      <c r="AK36" s="64" t="s">
        <v>1614</v>
      </c>
      <c r="AL36" s="64" t="s">
        <v>1560</v>
      </c>
      <c r="AM36" s="64"/>
      <c r="AN36" s="64"/>
      <c r="AO36" s="110">
        <v>39935.52559027778</v>
      </c>
      <c r="AP36" s="111" t="str">
        <f>HYPERLINK("https://pbs.twimg.com/profile_banners/37188645/1678538523")</f>
        <v>https://pbs.twimg.com/profile_banners/37188645/1678538523</v>
      </c>
      <c r="AQ36" s="64" t="b">
        <v>0</v>
      </c>
      <c r="AR36" s="64" t="b">
        <v>0</v>
      </c>
      <c r="AS36" s="64"/>
      <c r="AT36" s="64"/>
      <c r="AU36" s="64">
        <v>1495</v>
      </c>
      <c r="AV36" s="64"/>
      <c r="AW36" s="64" t="b">
        <v>0</v>
      </c>
      <c r="AX36" s="64" t="s">
        <v>1689</v>
      </c>
      <c r="AY36" s="111" t="str">
        <f>HYPERLINK("https://twitter.com/michaelbathurst")</f>
        <v>https://twitter.com/michaelbathurst</v>
      </c>
      <c r="AZ36" s="104" t="s">
        <v>65</v>
      </c>
      <c r="BA36" s="48"/>
      <c r="BB36" s="48"/>
      <c r="BC36" s="48"/>
      <c r="BD36" s="48"/>
      <c r="BE36" s="48"/>
      <c r="BF36" s="48"/>
      <c r="BG36" s="48"/>
      <c r="BH36" s="48"/>
      <c r="BI36" s="48"/>
      <c r="BJ36" s="48"/>
      <c r="BK36" s="105"/>
      <c r="BL36" s="106"/>
      <c r="BM36" s="105"/>
      <c r="BN36" s="106"/>
      <c r="BO36" s="105"/>
      <c r="BP36" s="106"/>
      <c r="BQ36" s="48"/>
      <c r="BR36" s="49"/>
      <c r="BS36" s="48"/>
      <c r="BT36" s="63" t="str">
        <f>REPLACE(INDEX(GroupVertices[Group],MATCH(Vertices[[#This Row],[Vertex]],GroupVertices[Vertex],0)),1,1,"")</f>
        <v>2</v>
      </c>
      <c r="BU36" s="138" t="s">
        <v>1532</v>
      </c>
      <c r="BV36" s="48"/>
      <c r="BW36" s="49"/>
      <c r="BX36" s="48"/>
      <c r="BY36" s="49"/>
      <c r="BZ36" s="48"/>
      <c r="CA36" s="49"/>
      <c r="CB36" s="107"/>
      <c r="CC36" s="64"/>
      <c r="CD36" s="111" t="str">
        <f>HYPERLINK("https://t.co/MyDJSXAu2M")</f>
        <v>https://t.co/MyDJSXAu2M</v>
      </c>
      <c r="CE36" s="111" t="str">
        <f>HYPERLINK("https://www.youtube.com/channel/UCIQ7QeSM-B3khZq9cXpmckg")</f>
        <v>https://www.youtube.com/channel/UCIQ7QeSM-B3khZq9cXpmckg</v>
      </c>
      <c r="CF36" s="64" t="s">
        <v>1651</v>
      </c>
      <c r="CG36" s="64"/>
      <c r="CH36" s="64"/>
      <c r="CI36" s="64"/>
      <c r="CJ36" s="64"/>
      <c r="CK36" s="64"/>
      <c r="CL36" s="64"/>
      <c r="CM36" s="64"/>
      <c r="CN36" s="111" t="str">
        <f>HYPERLINK("https://t.co/MyDJSXAu2M")</f>
        <v>https://t.co/MyDJSXAu2M</v>
      </c>
      <c r="CO36" s="64"/>
      <c r="CP36" s="64"/>
      <c r="CQ36" s="64"/>
      <c r="CR36" s="64"/>
      <c r="CS36" s="64"/>
      <c r="CT36" s="64"/>
      <c r="CU36" s="64"/>
      <c r="CV36" s="64"/>
      <c r="CW36" s="64"/>
      <c r="CX36" s="64"/>
      <c r="CY36" s="64"/>
      <c r="CZ36" s="64"/>
      <c r="DA36" s="64"/>
      <c r="DB36" s="64"/>
      <c r="DC36" s="64"/>
      <c r="DD36" s="64"/>
      <c r="DE36" s="64"/>
      <c r="DF36" s="64"/>
      <c r="DG36" s="64"/>
      <c r="DH36" s="64"/>
      <c r="DI36" s="63">
        <v>19977</v>
      </c>
      <c r="DJ36" s="63">
        <v>16453</v>
      </c>
      <c r="DK36" s="63" t="b">
        <v>1</v>
      </c>
      <c r="DL36" s="63"/>
      <c r="DM36" s="63"/>
      <c r="DN36" s="63" t="b">
        <v>0</v>
      </c>
      <c r="DO36" s="63" t="b">
        <v>1</v>
      </c>
      <c r="DP36" s="63" t="b">
        <v>1</v>
      </c>
      <c r="DQ36" s="63" t="b">
        <v>0</v>
      </c>
      <c r="DR36" s="63" t="b">
        <v>0</v>
      </c>
      <c r="DS36" s="63"/>
      <c r="DT36" s="63" t="s">
        <v>1687</v>
      </c>
      <c r="DU36" s="63" t="b">
        <v>0</v>
      </c>
      <c r="DV36" s="63"/>
    </row>
    <row r="37" spans="1:126" ht="41.45" customHeight="1">
      <c r="A37" s="62" t="s">
        <v>916</v>
      </c>
      <c r="B37" s="64"/>
      <c r="C37" s="78"/>
      <c r="D37" s="78" t="s">
        <v>64</v>
      </c>
      <c r="E37" s="84">
        <v>162.00015725773537</v>
      </c>
      <c r="F37" s="112">
        <v>99.99999942506982</v>
      </c>
      <c r="G37" s="69" t="str">
        <f>HYPERLINK("https://pbs.twimg.com/profile_images/1411764427259584516/xDJuQ_qX_normal.jpg")</f>
        <v>https://pbs.twimg.com/profile_images/1411764427259584516/xDJuQ_qX_normal.jpg</v>
      </c>
      <c r="H37" s="113"/>
      <c r="I37" s="70" t="s">
        <v>916</v>
      </c>
      <c r="J37" s="114"/>
      <c r="K37" s="114"/>
      <c r="L37" s="70" t="s">
        <v>1723</v>
      </c>
      <c r="M37" s="115">
        <v>1.0001916050661979</v>
      </c>
      <c r="N37" s="91">
        <v>8540.1435546875</v>
      </c>
      <c r="O37" s="91">
        <v>6227.67578125</v>
      </c>
      <c r="P37" s="92"/>
      <c r="Q37" s="93"/>
      <c r="R37" s="93"/>
      <c r="S37" s="116"/>
      <c r="T37" s="48">
        <v>0</v>
      </c>
      <c r="U37" s="48">
        <v>2</v>
      </c>
      <c r="V37" s="49">
        <v>2</v>
      </c>
      <c r="W37" s="49">
        <v>0.03125</v>
      </c>
      <c r="X37" s="49">
        <v>0</v>
      </c>
      <c r="Y37" s="49">
        <v>0.017391</v>
      </c>
      <c r="Z37" s="49">
        <v>0</v>
      </c>
      <c r="AA37" s="49">
        <v>0</v>
      </c>
      <c r="AB37" s="88">
        <v>37</v>
      </c>
      <c r="AC37" s="135"/>
      <c r="AD37" s="89"/>
      <c r="AE37" s="64" t="s">
        <v>1487</v>
      </c>
      <c r="AF37" s="64">
        <v>12</v>
      </c>
      <c r="AG37" s="64">
        <v>3</v>
      </c>
      <c r="AH37" s="64">
        <v>142</v>
      </c>
      <c r="AI37" s="64"/>
      <c r="AJ37" s="64"/>
      <c r="AK37" s="64"/>
      <c r="AL37" s="64" t="s">
        <v>1561</v>
      </c>
      <c r="AM37" s="64"/>
      <c r="AN37" s="64"/>
      <c r="AO37" s="110">
        <v>43903.2503125</v>
      </c>
      <c r="AP37" s="64"/>
      <c r="AQ37" s="64" t="b">
        <v>1</v>
      </c>
      <c r="AR37" s="64" t="b">
        <v>0</v>
      </c>
      <c r="AS37" s="64"/>
      <c r="AT37" s="64"/>
      <c r="AU37" s="64">
        <v>0</v>
      </c>
      <c r="AV37" s="64"/>
      <c r="AW37" s="64" t="b">
        <v>0</v>
      </c>
      <c r="AX37" s="64" t="s">
        <v>1689</v>
      </c>
      <c r="AY37" s="111" t="str">
        <f>HYPERLINK("https://twitter.com/jeremylammert79")</f>
        <v>https://twitter.com/jeremylammert79</v>
      </c>
      <c r="AZ37" s="104" t="s">
        <v>66</v>
      </c>
      <c r="BA37" s="48"/>
      <c r="BB37" s="48"/>
      <c r="BC37" s="48"/>
      <c r="BD37" s="48"/>
      <c r="BE37" s="48"/>
      <c r="BF37" s="48"/>
      <c r="BG37" s="83" t="s">
        <v>1988</v>
      </c>
      <c r="BH37" s="83" t="s">
        <v>1988</v>
      </c>
      <c r="BI37" s="83" t="s">
        <v>2033</v>
      </c>
      <c r="BJ37" s="83" t="s">
        <v>2033</v>
      </c>
      <c r="BK37" s="105"/>
      <c r="BL37" s="106"/>
      <c r="BM37" s="105"/>
      <c r="BN37" s="106"/>
      <c r="BO37" s="105"/>
      <c r="BP37" s="106"/>
      <c r="BQ37" s="48">
        <v>12</v>
      </c>
      <c r="BR37" s="49">
        <v>70.58823529411765</v>
      </c>
      <c r="BS37" s="48">
        <v>17</v>
      </c>
      <c r="BT37" s="63" t="str">
        <f>REPLACE(INDEX(GroupVertices[Group],MATCH(Vertices[[#This Row],[Vertex]],GroupVertices[Vertex],0)),1,1,"")</f>
        <v>9</v>
      </c>
      <c r="BU37" s="138" t="s">
        <v>1432</v>
      </c>
      <c r="BV37" s="48">
        <v>0</v>
      </c>
      <c r="BW37" s="49">
        <v>0</v>
      </c>
      <c r="BX37" s="48">
        <v>0</v>
      </c>
      <c r="BY37" s="49">
        <v>0</v>
      </c>
      <c r="BZ37" s="48">
        <v>0</v>
      </c>
      <c r="CA37" s="49">
        <v>0</v>
      </c>
      <c r="CB37" s="107"/>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3">
        <v>1502</v>
      </c>
      <c r="DJ37" s="63">
        <v>7</v>
      </c>
      <c r="DK37" s="63" t="b">
        <v>0</v>
      </c>
      <c r="DL37" s="63"/>
      <c r="DM37" s="63"/>
      <c r="DN37" s="63" t="b">
        <v>0</v>
      </c>
      <c r="DO37" s="63" t="b">
        <v>1</v>
      </c>
      <c r="DP37" s="63" t="b">
        <v>0</v>
      </c>
      <c r="DQ37" s="63" t="b">
        <v>0</v>
      </c>
      <c r="DR37" s="63" t="b">
        <v>0</v>
      </c>
      <c r="DS37" s="63"/>
      <c r="DT37" s="63" t="s">
        <v>1687</v>
      </c>
      <c r="DU37" s="63" t="b">
        <v>0</v>
      </c>
      <c r="DV37" s="63"/>
    </row>
    <row r="38" spans="1:126" ht="41.45" customHeight="1">
      <c r="A38" s="62" t="s">
        <v>955</v>
      </c>
      <c r="B38" s="64"/>
      <c r="C38" s="78"/>
      <c r="D38" s="78" t="s">
        <v>64</v>
      </c>
      <c r="E38" s="84">
        <v>166.07098341443825</v>
      </c>
      <c r="F38" s="112">
        <v>99.98511659066708</v>
      </c>
      <c r="G38" s="69" t="str">
        <f>HYPERLINK("https://pbs.twimg.com/profile_images/1410586701848891392/_94M4pBd_normal.jpg")</f>
        <v>https://pbs.twimg.com/profile_images/1410586701848891392/_94M4pBd_normal.jpg</v>
      </c>
      <c r="H38" s="113"/>
      <c r="I38" s="70" t="s">
        <v>955</v>
      </c>
      <c r="J38" s="114"/>
      <c r="K38" s="114"/>
      <c r="L38" s="70" t="s">
        <v>1724</v>
      </c>
      <c r="M38" s="115">
        <v>5.96014421702066</v>
      </c>
      <c r="N38" s="91">
        <v>8540.1435546875</v>
      </c>
      <c r="O38" s="91">
        <v>5316.30859375</v>
      </c>
      <c r="P38" s="92"/>
      <c r="Q38" s="93"/>
      <c r="R38" s="93"/>
      <c r="S38" s="116"/>
      <c r="T38" s="48">
        <v>1</v>
      </c>
      <c r="U38" s="48">
        <v>0</v>
      </c>
      <c r="V38" s="49">
        <v>0</v>
      </c>
      <c r="W38" s="49">
        <v>0.020833</v>
      </c>
      <c r="X38" s="49">
        <v>0</v>
      </c>
      <c r="Y38" s="49">
        <v>0.014381</v>
      </c>
      <c r="Z38" s="49">
        <v>0</v>
      </c>
      <c r="AA38" s="49">
        <v>0</v>
      </c>
      <c r="AB38" s="88">
        <v>38</v>
      </c>
      <c r="AC38" s="135"/>
      <c r="AD38" s="89"/>
      <c r="AE38" s="64" t="s">
        <v>1488</v>
      </c>
      <c r="AF38" s="64">
        <v>3888</v>
      </c>
      <c r="AG38" s="64">
        <v>77662</v>
      </c>
      <c r="AH38" s="64">
        <v>22671</v>
      </c>
      <c r="AI38" s="64"/>
      <c r="AJ38" s="64"/>
      <c r="AK38" s="64" t="s">
        <v>1615</v>
      </c>
      <c r="AL38" s="64" t="s">
        <v>1562</v>
      </c>
      <c r="AM38" s="64"/>
      <c r="AN38" s="64"/>
      <c r="AO38" s="110">
        <v>40883.05425925926</v>
      </c>
      <c r="AP38" s="111" t="str">
        <f>HYPERLINK("https://pbs.twimg.com/profile_banners/429485301/1685580917")</f>
        <v>https://pbs.twimg.com/profile_banners/429485301/1685580917</v>
      </c>
      <c r="AQ38" s="64" t="b">
        <v>0</v>
      </c>
      <c r="AR38" s="64" t="b">
        <v>0</v>
      </c>
      <c r="AS38" s="64"/>
      <c r="AT38" s="64"/>
      <c r="AU38" s="64">
        <v>619</v>
      </c>
      <c r="AV38" s="64"/>
      <c r="AW38" s="64" t="b">
        <v>0</v>
      </c>
      <c r="AX38" s="64" t="s">
        <v>1689</v>
      </c>
      <c r="AY38" s="111" t="str">
        <f>HYPERLINK("https://twitter.com/kattenbarge")</f>
        <v>https://twitter.com/kattenbarge</v>
      </c>
      <c r="AZ38" s="104" t="s">
        <v>65</v>
      </c>
      <c r="BA38" s="48"/>
      <c r="BB38" s="48"/>
      <c r="BC38" s="48"/>
      <c r="BD38" s="48"/>
      <c r="BE38" s="48"/>
      <c r="BF38" s="48"/>
      <c r="BG38" s="48"/>
      <c r="BH38" s="48"/>
      <c r="BI38" s="48"/>
      <c r="BJ38" s="48"/>
      <c r="BK38" s="105"/>
      <c r="BL38" s="106"/>
      <c r="BM38" s="105"/>
      <c r="BN38" s="106"/>
      <c r="BO38" s="105"/>
      <c r="BP38" s="106"/>
      <c r="BQ38" s="48"/>
      <c r="BR38" s="49"/>
      <c r="BS38" s="48"/>
      <c r="BT38" s="63" t="str">
        <f>REPLACE(INDEX(GroupVertices[Group],MATCH(Vertices[[#This Row],[Vertex]],GroupVertices[Vertex],0)),1,1,"")</f>
        <v>9</v>
      </c>
      <c r="BU38" s="138" t="s">
        <v>1533</v>
      </c>
      <c r="BV38" s="48"/>
      <c r="BW38" s="49"/>
      <c r="BX38" s="48"/>
      <c r="BY38" s="49"/>
      <c r="BZ38" s="48"/>
      <c r="CA38" s="49"/>
      <c r="CB38" s="107"/>
      <c r="CC38" s="64"/>
      <c r="CD38" s="111" t="str">
        <f>HYPERLINK("https://t.co/SYcIUtFFhH")</f>
        <v>https://t.co/SYcIUtFFhH</v>
      </c>
      <c r="CE38" s="111" t="str">
        <f>HYPERLINK("https://www.nbcnews.com/author/kat-tenbarge-ncpn1287002")</f>
        <v>https://www.nbcnews.com/author/kat-tenbarge-ncpn1287002</v>
      </c>
      <c r="CF38" s="64" t="s">
        <v>1652</v>
      </c>
      <c r="CG38" s="64"/>
      <c r="CH38" s="64"/>
      <c r="CI38" s="64"/>
      <c r="CJ38" s="64"/>
      <c r="CK38" s="64"/>
      <c r="CL38" s="64"/>
      <c r="CM38" s="64">
        <v>1.69254158508539E+18</v>
      </c>
      <c r="CN38" s="111" t="str">
        <f>HYPERLINK("https://t.co/SYcIUtFFhH")</f>
        <v>https://t.co/SYcIUtFFhH</v>
      </c>
      <c r="CO38" s="64"/>
      <c r="CP38" s="64"/>
      <c r="CQ38" s="64"/>
      <c r="CR38" s="64"/>
      <c r="CS38" s="64"/>
      <c r="CT38" s="64"/>
      <c r="CU38" s="64"/>
      <c r="CV38" s="64"/>
      <c r="CW38" s="64"/>
      <c r="CX38" s="64"/>
      <c r="CY38" s="64"/>
      <c r="CZ38" s="64"/>
      <c r="DA38" s="64"/>
      <c r="DB38" s="64"/>
      <c r="DC38" s="64"/>
      <c r="DD38" s="64"/>
      <c r="DE38" s="64"/>
      <c r="DF38" s="64"/>
      <c r="DG38" s="64"/>
      <c r="DH38" s="64"/>
      <c r="DI38" s="63">
        <v>160089</v>
      </c>
      <c r="DJ38" s="63">
        <v>1068</v>
      </c>
      <c r="DK38" s="63" t="b">
        <v>0</v>
      </c>
      <c r="DL38" s="63"/>
      <c r="DM38" s="63"/>
      <c r="DN38" s="63" t="b">
        <v>1</v>
      </c>
      <c r="DO38" s="63" t="b">
        <v>1</v>
      </c>
      <c r="DP38" s="63" t="b">
        <v>1</v>
      </c>
      <c r="DQ38" s="63" t="b">
        <v>0</v>
      </c>
      <c r="DR38" s="63" t="b">
        <v>0</v>
      </c>
      <c r="DS38" s="63"/>
      <c r="DT38" s="63" t="s">
        <v>1687</v>
      </c>
      <c r="DU38" s="63" t="b">
        <v>0</v>
      </c>
      <c r="DV38" s="63"/>
    </row>
    <row r="39" spans="1:126" ht="41.45" customHeight="1">
      <c r="A39" s="62" t="s">
        <v>956</v>
      </c>
      <c r="B39" s="64"/>
      <c r="C39" s="78"/>
      <c r="D39" s="78" t="s">
        <v>64</v>
      </c>
      <c r="E39" s="84">
        <v>164.8470988793979</v>
      </c>
      <c r="F39" s="112">
        <v>99.98959108065065</v>
      </c>
      <c r="G39" s="69" t="str">
        <f>HYPERLINK("https://pbs.twimg.com/profile_images/1622719723539677188/jGf5wuEs_normal.jpg")</f>
        <v>https://pbs.twimg.com/profile_images/1622719723539677188/jGf5wuEs_normal.jpg</v>
      </c>
      <c r="H39" s="113"/>
      <c r="I39" s="70" t="s">
        <v>956</v>
      </c>
      <c r="J39" s="114"/>
      <c r="K39" s="114"/>
      <c r="L39" s="70" t="s">
        <v>1725</v>
      </c>
      <c r="M39" s="115">
        <v>4.468945855157736</v>
      </c>
      <c r="N39" s="91">
        <v>9191.2021484375</v>
      </c>
      <c r="O39" s="91">
        <v>6227.67578125</v>
      </c>
      <c r="P39" s="92"/>
      <c r="Q39" s="93"/>
      <c r="R39" s="93"/>
      <c r="S39" s="116"/>
      <c r="T39" s="48">
        <v>1</v>
      </c>
      <c r="U39" s="48">
        <v>0</v>
      </c>
      <c r="V39" s="49">
        <v>0</v>
      </c>
      <c r="W39" s="49">
        <v>0.020833</v>
      </c>
      <c r="X39" s="49">
        <v>0</v>
      </c>
      <c r="Y39" s="49">
        <v>0.014381</v>
      </c>
      <c r="Z39" s="49">
        <v>0</v>
      </c>
      <c r="AA39" s="49">
        <v>0</v>
      </c>
      <c r="AB39" s="88">
        <v>39</v>
      </c>
      <c r="AC39" s="135"/>
      <c r="AD39" s="89"/>
      <c r="AE39" s="64" t="s">
        <v>1489</v>
      </c>
      <c r="AF39" s="64">
        <v>34</v>
      </c>
      <c r="AG39" s="64">
        <v>54314</v>
      </c>
      <c r="AH39" s="64">
        <v>2753</v>
      </c>
      <c r="AI39" s="64"/>
      <c r="AJ39" s="64"/>
      <c r="AK39" s="64" t="s">
        <v>1616</v>
      </c>
      <c r="AL39" s="64" t="s">
        <v>1563</v>
      </c>
      <c r="AM39" s="64"/>
      <c r="AN39" s="64"/>
      <c r="AO39" s="110">
        <v>43876.48677083333</v>
      </c>
      <c r="AP39" s="111" t="str">
        <f>HYPERLINK("https://pbs.twimg.com/profile_banners/1228645328313696257/1668206790")</f>
        <v>https://pbs.twimg.com/profile_banners/1228645328313696257/1668206790</v>
      </c>
      <c r="AQ39" s="64" t="b">
        <v>1</v>
      </c>
      <c r="AR39" s="64" t="b">
        <v>0</v>
      </c>
      <c r="AS39" s="64"/>
      <c r="AT39" s="64"/>
      <c r="AU39" s="64">
        <v>47</v>
      </c>
      <c r="AV39" s="64"/>
      <c r="AW39" s="64" t="b">
        <v>0</v>
      </c>
      <c r="AX39" s="64" t="s">
        <v>1689</v>
      </c>
      <c r="AY39" s="111" t="str">
        <f>HYPERLINK("https://twitter.com/the_romaarmy")</f>
        <v>https://twitter.com/the_romaarmy</v>
      </c>
      <c r="AZ39" s="104" t="s">
        <v>65</v>
      </c>
      <c r="BA39" s="48"/>
      <c r="BB39" s="48"/>
      <c r="BC39" s="48"/>
      <c r="BD39" s="48"/>
      <c r="BE39" s="48"/>
      <c r="BF39" s="48"/>
      <c r="BG39" s="48"/>
      <c r="BH39" s="48"/>
      <c r="BI39" s="48"/>
      <c r="BJ39" s="48"/>
      <c r="BK39" s="105"/>
      <c r="BL39" s="106"/>
      <c r="BM39" s="105"/>
      <c r="BN39" s="106"/>
      <c r="BO39" s="105"/>
      <c r="BP39" s="106"/>
      <c r="BQ39" s="48"/>
      <c r="BR39" s="49"/>
      <c r="BS39" s="48"/>
      <c r="BT39" s="63" t="str">
        <f>REPLACE(INDEX(GroupVertices[Group],MATCH(Vertices[[#This Row],[Vertex]],GroupVertices[Vertex],0)),1,1,"")</f>
        <v>9</v>
      </c>
      <c r="BU39" s="138" t="s">
        <v>1408</v>
      </c>
      <c r="BV39" s="48"/>
      <c r="BW39" s="49"/>
      <c r="BX39" s="48"/>
      <c r="BY39" s="49"/>
      <c r="BZ39" s="48"/>
      <c r="CA39" s="49"/>
      <c r="CB39" s="107"/>
      <c r="CC39" s="64"/>
      <c r="CD39" s="111" t="str">
        <f>HYPERLINK("https://t.co/FJgSKKL0uI")</f>
        <v>https://t.co/FJgSKKL0uI</v>
      </c>
      <c r="CE39" s="111" t="str">
        <f>HYPERLINK("https://linktr.ee/Romaarmy")</f>
        <v>https://linktr.ee/Romaarmy</v>
      </c>
      <c r="CF39" s="64" t="s">
        <v>1653</v>
      </c>
      <c r="CG39" s="64"/>
      <c r="CH39" s="64"/>
      <c r="CI39" s="64"/>
      <c r="CJ39" s="64"/>
      <c r="CK39" s="64"/>
      <c r="CL39" s="64"/>
      <c r="CM39" s="64">
        <v>1.69451679397573E+18</v>
      </c>
      <c r="CN39" s="111" t="str">
        <f>HYPERLINK("https://t.co/FJgSKKL0uI")</f>
        <v>https://t.co/FJgSKKL0uI</v>
      </c>
      <c r="CO39" s="64"/>
      <c r="CP39" s="64"/>
      <c r="CQ39" s="64"/>
      <c r="CR39" s="64"/>
      <c r="CS39" s="64"/>
      <c r="CT39" s="64"/>
      <c r="CU39" s="64"/>
      <c r="CV39" s="64"/>
      <c r="CW39" s="64"/>
      <c r="CX39" s="64"/>
      <c r="CY39" s="64"/>
      <c r="CZ39" s="64"/>
      <c r="DA39" s="64"/>
      <c r="DB39" s="64"/>
      <c r="DC39" s="64"/>
      <c r="DD39" s="64"/>
      <c r="DE39" s="64"/>
      <c r="DF39" s="64"/>
      <c r="DG39" s="64"/>
      <c r="DH39" s="64"/>
      <c r="DI39" s="63">
        <v>1434</v>
      </c>
      <c r="DJ39" s="63">
        <v>574</v>
      </c>
      <c r="DK39" s="63" t="b">
        <v>1</v>
      </c>
      <c r="DL39" s="63"/>
      <c r="DM39" s="63"/>
      <c r="DN39" s="63" t="b">
        <v>1</v>
      </c>
      <c r="DO39" s="63" t="b">
        <v>0</v>
      </c>
      <c r="DP39" s="63" t="b">
        <v>0</v>
      </c>
      <c r="DQ39" s="63" t="b">
        <v>0</v>
      </c>
      <c r="DR39" s="63" t="b">
        <v>0</v>
      </c>
      <c r="DS39" s="63"/>
      <c r="DT39" s="63" t="s">
        <v>1687</v>
      </c>
      <c r="DU39" s="63" t="b">
        <v>0</v>
      </c>
      <c r="DV39" s="63"/>
    </row>
    <row r="40" spans="1:126" ht="41.45" customHeight="1">
      <c r="A40" s="62" t="s">
        <v>917</v>
      </c>
      <c r="B40" s="64"/>
      <c r="C40" s="78"/>
      <c r="D40" s="78" t="s">
        <v>64</v>
      </c>
      <c r="E40" s="84">
        <v>223.40012954684562</v>
      </c>
      <c r="F40" s="112">
        <v>99.77552272556565</v>
      </c>
      <c r="G40" s="69" t="str">
        <f>HYPERLINK("https://pbs.twimg.com/profile_images/1691639615617437696/cossZcg5_normal.jpg")</f>
        <v>https://pbs.twimg.com/profile_images/1691639615617437696/cossZcg5_normal.jpg</v>
      </c>
      <c r="H40" s="113"/>
      <c r="I40" s="70" t="s">
        <v>917</v>
      </c>
      <c r="J40" s="114"/>
      <c r="K40" s="114"/>
      <c r="L40" s="70" t="s">
        <v>1726</v>
      </c>
      <c r="M40" s="115">
        <v>75.81079299315464</v>
      </c>
      <c r="N40" s="91">
        <v>6309.658203125</v>
      </c>
      <c r="O40" s="91">
        <v>5316.30859375</v>
      </c>
      <c r="P40" s="92"/>
      <c r="Q40" s="93"/>
      <c r="R40" s="93"/>
      <c r="S40" s="116"/>
      <c r="T40" s="48">
        <v>2</v>
      </c>
      <c r="U40" s="48">
        <v>1</v>
      </c>
      <c r="V40" s="49">
        <v>0</v>
      </c>
      <c r="W40" s="49">
        <v>0.028125</v>
      </c>
      <c r="X40" s="49">
        <v>0</v>
      </c>
      <c r="Y40" s="49">
        <v>0.015027</v>
      </c>
      <c r="Z40" s="49">
        <v>0</v>
      </c>
      <c r="AA40" s="49">
        <v>0</v>
      </c>
      <c r="AB40" s="88">
        <v>40</v>
      </c>
      <c r="AC40" s="135"/>
      <c r="AD40" s="89"/>
      <c r="AE40" s="64" t="s">
        <v>1490</v>
      </c>
      <c r="AF40" s="64">
        <v>530</v>
      </c>
      <c r="AG40" s="64">
        <v>1171328</v>
      </c>
      <c r="AH40" s="64">
        <v>19390</v>
      </c>
      <c r="AI40" s="64"/>
      <c r="AJ40" s="64"/>
      <c r="AK40" s="64" t="s">
        <v>1617</v>
      </c>
      <c r="AL40" s="64" t="s">
        <v>1564</v>
      </c>
      <c r="AM40" s="64"/>
      <c r="AN40" s="64"/>
      <c r="AO40" s="110">
        <v>43518.405694444446</v>
      </c>
      <c r="AP40" s="111" t="str">
        <f>HYPERLINK("https://pbs.twimg.com/profile_banners/1098881129057112064/1692153180")</f>
        <v>https://pbs.twimg.com/profile_banners/1098881129057112064/1692153180</v>
      </c>
      <c r="AQ40" s="64" t="b">
        <v>1</v>
      </c>
      <c r="AR40" s="64" t="b">
        <v>0</v>
      </c>
      <c r="AS40" s="64"/>
      <c r="AT40" s="64"/>
      <c r="AU40" s="64">
        <v>650</v>
      </c>
      <c r="AV40" s="64"/>
      <c r="AW40" s="64" t="b">
        <v>0</v>
      </c>
      <c r="AX40" s="64" t="s">
        <v>1689</v>
      </c>
      <c r="AY40" s="111" t="str">
        <f>HYPERLINK("https://twitter.com/bitgetglobal")</f>
        <v>https://twitter.com/bitgetglobal</v>
      </c>
      <c r="AZ40" s="104" t="s">
        <v>66</v>
      </c>
      <c r="BA40" s="48" t="s">
        <v>1774</v>
      </c>
      <c r="BB40" s="48" t="s">
        <v>1774</v>
      </c>
      <c r="BC40" s="48" t="s">
        <v>1089</v>
      </c>
      <c r="BD40" s="48" t="s">
        <v>1089</v>
      </c>
      <c r="BE40" s="48" t="s">
        <v>1069</v>
      </c>
      <c r="BF40" s="48" t="s">
        <v>1069</v>
      </c>
      <c r="BG40" s="83" t="s">
        <v>1989</v>
      </c>
      <c r="BH40" s="83" t="s">
        <v>1989</v>
      </c>
      <c r="BI40" s="83" t="s">
        <v>2034</v>
      </c>
      <c r="BJ40" s="83" t="s">
        <v>2034</v>
      </c>
      <c r="BK40" s="105"/>
      <c r="BL40" s="106"/>
      <c r="BM40" s="105"/>
      <c r="BN40" s="106"/>
      <c r="BO40" s="105"/>
      <c r="BP40" s="106"/>
      <c r="BQ40" s="48">
        <v>21</v>
      </c>
      <c r="BR40" s="49">
        <v>72.41379310344827</v>
      </c>
      <c r="BS40" s="48">
        <v>29</v>
      </c>
      <c r="BT40" s="63" t="str">
        <f>REPLACE(INDEX(GroupVertices[Group],MATCH(Vertices[[#This Row],[Vertex]],GroupVertices[Vertex],0)),1,1,"")</f>
        <v>7</v>
      </c>
      <c r="BU40" s="138" t="s">
        <v>1433</v>
      </c>
      <c r="BV40" s="48">
        <v>0</v>
      </c>
      <c r="BW40" s="49">
        <v>0</v>
      </c>
      <c r="BX40" s="48">
        <v>0</v>
      </c>
      <c r="BY40" s="49">
        <v>0</v>
      </c>
      <c r="BZ40" s="48">
        <v>0</v>
      </c>
      <c r="CA40" s="49">
        <v>0</v>
      </c>
      <c r="CB40" s="107"/>
      <c r="CC40" s="64"/>
      <c r="CD40" s="111" t="str">
        <f>HYPERLINK("https://t.co/AnfbGO7kxj")</f>
        <v>https://t.co/AnfbGO7kxj</v>
      </c>
      <c r="CE40" s="111" t="str">
        <f>HYPERLINK("https://linktr.ee/bitgettwitter")</f>
        <v>https://linktr.ee/bitgettwitter</v>
      </c>
      <c r="CF40" s="64" t="s">
        <v>1654</v>
      </c>
      <c r="CG40" s="64"/>
      <c r="CH40" s="64"/>
      <c r="CI40" s="64"/>
      <c r="CJ40" s="64"/>
      <c r="CK40" s="64"/>
      <c r="CL40" s="64"/>
      <c r="CM40" s="64">
        <v>1.70141538976106E+18</v>
      </c>
      <c r="CN40" s="111" t="str">
        <f>HYPERLINK("https://t.co/AnfbGO7kxj")</f>
        <v>https://t.co/AnfbGO7kxj</v>
      </c>
      <c r="CO40" s="64"/>
      <c r="CP40" s="64"/>
      <c r="CQ40" s="64"/>
      <c r="CR40" s="64"/>
      <c r="CS40" s="64"/>
      <c r="CT40" s="64"/>
      <c r="CU40" s="64"/>
      <c r="CV40" s="64"/>
      <c r="CW40" s="64"/>
      <c r="CX40" s="64"/>
      <c r="CY40" s="64"/>
      <c r="CZ40" s="64"/>
      <c r="DA40" s="64"/>
      <c r="DB40" s="64"/>
      <c r="DC40" s="64"/>
      <c r="DD40" s="64"/>
      <c r="DE40" s="64"/>
      <c r="DF40" s="64"/>
      <c r="DG40" s="64"/>
      <c r="DH40" s="64"/>
      <c r="DI40" s="63">
        <v>6346</v>
      </c>
      <c r="DJ40" s="63">
        <v>5845</v>
      </c>
      <c r="DK40" s="63" t="b">
        <v>0</v>
      </c>
      <c r="DL40" s="63"/>
      <c r="DM40" s="63"/>
      <c r="DN40" s="63" t="b">
        <v>0</v>
      </c>
      <c r="DO40" s="63" t="b">
        <v>1</v>
      </c>
      <c r="DP40" s="63" t="b">
        <v>1</v>
      </c>
      <c r="DQ40" s="63" t="b">
        <v>0</v>
      </c>
      <c r="DR40" s="63" t="b">
        <v>0</v>
      </c>
      <c r="DS40" s="63"/>
      <c r="DT40" s="63" t="s">
        <v>1687</v>
      </c>
      <c r="DU40" s="63" t="b">
        <v>0</v>
      </c>
      <c r="DV40" s="63"/>
    </row>
    <row r="41" spans="1:126" ht="41.45" customHeight="1">
      <c r="A41" s="62" t="s">
        <v>918</v>
      </c>
      <c r="B41" s="64"/>
      <c r="C41" s="78"/>
      <c r="D41" s="78" t="s">
        <v>64</v>
      </c>
      <c r="E41" s="84">
        <v>162.00005241924512</v>
      </c>
      <c r="F41" s="112">
        <v>99.9999998083566</v>
      </c>
      <c r="G41" s="69" t="str">
        <f>HYPERLINK("https://pbs.twimg.com/profile_images/1684639612034244609/IM7wqm5e_normal.jpg")</f>
        <v>https://pbs.twimg.com/profile_images/1684639612034244609/IM7wqm5e_normal.jpg</v>
      </c>
      <c r="H41" s="113"/>
      <c r="I41" s="70" t="s">
        <v>918</v>
      </c>
      <c r="J41" s="114"/>
      <c r="K41" s="114"/>
      <c r="L41" s="70" t="s">
        <v>1727</v>
      </c>
      <c r="M41" s="115">
        <v>1.0000638683553993</v>
      </c>
      <c r="N41" s="91">
        <v>6309.658203125</v>
      </c>
      <c r="O41" s="91">
        <v>6227.67578125</v>
      </c>
      <c r="P41" s="92"/>
      <c r="Q41" s="93"/>
      <c r="R41" s="93"/>
      <c r="S41" s="116"/>
      <c r="T41" s="48">
        <v>0</v>
      </c>
      <c r="U41" s="48">
        <v>3</v>
      </c>
      <c r="V41" s="49">
        <v>6</v>
      </c>
      <c r="W41" s="49">
        <v>0.046875</v>
      </c>
      <c r="X41" s="49">
        <v>0</v>
      </c>
      <c r="Y41" s="49">
        <v>0.016458</v>
      </c>
      <c r="Z41" s="49">
        <v>0</v>
      </c>
      <c r="AA41" s="49">
        <v>0</v>
      </c>
      <c r="AB41" s="88">
        <v>41</v>
      </c>
      <c r="AC41" s="135"/>
      <c r="AD41" s="89"/>
      <c r="AE41" s="64" t="s">
        <v>1491</v>
      </c>
      <c r="AF41" s="64">
        <v>33</v>
      </c>
      <c r="AG41" s="64">
        <v>1</v>
      </c>
      <c r="AH41" s="64">
        <v>20</v>
      </c>
      <c r="AI41" s="64"/>
      <c r="AJ41" s="64"/>
      <c r="AK41" s="64" t="s">
        <v>1618</v>
      </c>
      <c r="AL41" s="64" t="s">
        <v>1565</v>
      </c>
      <c r="AM41" s="64"/>
      <c r="AN41" s="64"/>
      <c r="AO41" s="110">
        <v>44687.01868055556</v>
      </c>
      <c r="AP41" s="111" t="str">
        <f>HYPERLINK("https://pbs.twimg.com/profile_banners/1522372150920843265/1690484378")</f>
        <v>https://pbs.twimg.com/profile_banners/1522372150920843265/1690484378</v>
      </c>
      <c r="AQ41" s="64" t="b">
        <v>1</v>
      </c>
      <c r="AR41" s="64" t="b">
        <v>0</v>
      </c>
      <c r="AS41" s="64"/>
      <c r="AT41" s="64"/>
      <c r="AU41" s="64">
        <v>0</v>
      </c>
      <c r="AV41" s="64"/>
      <c r="AW41" s="64" t="b">
        <v>0</v>
      </c>
      <c r="AX41" s="64" t="s">
        <v>1689</v>
      </c>
      <c r="AY41" s="111" t="str">
        <f>HYPERLINK("https://twitter.com/jeremyl2p41")</f>
        <v>https://twitter.com/jeremyl2p41</v>
      </c>
      <c r="AZ41" s="104" t="s">
        <v>66</v>
      </c>
      <c r="BA41" s="48"/>
      <c r="BB41" s="48"/>
      <c r="BC41" s="48"/>
      <c r="BD41" s="48"/>
      <c r="BE41" s="48" t="s">
        <v>1965</v>
      </c>
      <c r="BF41" s="48" t="s">
        <v>1969</v>
      </c>
      <c r="BG41" s="83" t="s">
        <v>1990</v>
      </c>
      <c r="BH41" s="83" t="s">
        <v>1990</v>
      </c>
      <c r="BI41" s="83" t="s">
        <v>2035</v>
      </c>
      <c r="BJ41" s="83" t="s">
        <v>2035</v>
      </c>
      <c r="BK41" s="105"/>
      <c r="BL41" s="106"/>
      <c r="BM41" s="105"/>
      <c r="BN41" s="106"/>
      <c r="BO41" s="105"/>
      <c r="BP41" s="106"/>
      <c r="BQ41" s="48">
        <v>43</v>
      </c>
      <c r="BR41" s="49">
        <v>69.35483870967742</v>
      </c>
      <c r="BS41" s="48">
        <v>62</v>
      </c>
      <c r="BT41" s="63" t="str">
        <f>REPLACE(INDEX(GroupVertices[Group],MATCH(Vertices[[#This Row],[Vertex]],GroupVertices[Vertex],0)),1,1,"")</f>
        <v>7</v>
      </c>
      <c r="BU41" s="138" t="s">
        <v>1434</v>
      </c>
      <c r="BV41" s="48">
        <v>0</v>
      </c>
      <c r="BW41" s="49">
        <v>0</v>
      </c>
      <c r="BX41" s="48">
        <v>0</v>
      </c>
      <c r="BY41" s="49">
        <v>0</v>
      </c>
      <c r="BZ41" s="48">
        <v>0</v>
      </c>
      <c r="CA41" s="49">
        <v>0</v>
      </c>
      <c r="CB41" s="107"/>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3">
        <v>0</v>
      </c>
      <c r="DJ41" s="63">
        <v>0</v>
      </c>
      <c r="DK41" s="63" t="b">
        <v>0</v>
      </c>
      <c r="DL41" s="63"/>
      <c r="DM41" s="63"/>
      <c r="DN41" s="63" t="b">
        <v>0</v>
      </c>
      <c r="DO41" s="63" t="b">
        <v>1</v>
      </c>
      <c r="DP41" s="63" t="b">
        <v>0</v>
      </c>
      <c r="DQ41" s="63" t="b">
        <v>0</v>
      </c>
      <c r="DR41" s="63" t="b">
        <v>0</v>
      </c>
      <c r="DS41" s="63"/>
      <c r="DT41" s="63" t="s">
        <v>1687</v>
      </c>
      <c r="DU41" s="63" t="b">
        <v>0</v>
      </c>
      <c r="DV41" s="63"/>
    </row>
    <row r="42" spans="1:126" ht="41.45" customHeight="1">
      <c r="A42" s="62" t="s">
        <v>919</v>
      </c>
      <c r="B42" s="64"/>
      <c r="C42" s="78"/>
      <c r="D42" s="78" t="s">
        <v>64</v>
      </c>
      <c r="E42" s="84">
        <v>163.539343552167</v>
      </c>
      <c r="F42" s="112">
        <v>99.99437220006604</v>
      </c>
      <c r="G42" s="69" t="str">
        <f>HYPERLINK("https://pbs.twimg.com/profile_images/1646051576757522432/xj5ypHm2_normal.jpg")</f>
        <v>https://pbs.twimg.com/profile_images/1646051576757522432/xj5ypHm2_normal.jpg</v>
      </c>
      <c r="H42" s="113"/>
      <c r="I42" s="70" t="s">
        <v>919</v>
      </c>
      <c r="J42" s="114"/>
      <c r="K42" s="114"/>
      <c r="L42" s="70" t="s">
        <v>1728</v>
      </c>
      <c r="M42" s="115">
        <v>2.875558124655928</v>
      </c>
      <c r="N42" s="91">
        <v>7258.11669921875</v>
      </c>
      <c r="O42" s="91">
        <v>6227.67578125</v>
      </c>
      <c r="P42" s="92"/>
      <c r="Q42" s="93"/>
      <c r="R42" s="93"/>
      <c r="S42" s="116"/>
      <c r="T42" s="48">
        <v>2</v>
      </c>
      <c r="U42" s="48">
        <v>1</v>
      </c>
      <c r="V42" s="49">
        <v>0</v>
      </c>
      <c r="W42" s="49">
        <v>0.028125</v>
      </c>
      <c r="X42" s="49">
        <v>0</v>
      </c>
      <c r="Y42" s="49">
        <v>0.015027</v>
      </c>
      <c r="Z42" s="49">
        <v>0</v>
      </c>
      <c r="AA42" s="49">
        <v>0</v>
      </c>
      <c r="AB42" s="88">
        <v>42</v>
      </c>
      <c r="AC42" s="135"/>
      <c r="AD42" s="89"/>
      <c r="AE42" s="64" t="s">
        <v>1492</v>
      </c>
      <c r="AF42" s="64">
        <v>14</v>
      </c>
      <c r="AG42" s="64">
        <v>29366</v>
      </c>
      <c r="AH42" s="64">
        <v>82</v>
      </c>
      <c r="AI42" s="64"/>
      <c r="AJ42" s="64"/>
      <c r="AK42" s="64" t="s">
        <v>1619</v>
      </c>
      <c r="AL42" s="64" t="s">
        <v>1566</v>
      </c>
      <c r="AM42" s="64"/>
      <c r="AN42" s="64"/>
      <c r="AO42" s="110">
        <v>45028.28056712963</v>
      </c>
      <c r="AP42" s="111" t="str">
        <f>HYPERLINK("https://pbs.twimg.com/profile_banners/1646039764645318658/1681282224")</f>
        <v>https://pbs.twimg.com/profile_banners/1646039764645318658/1681282224</v>
      </c>
      <c r="AQ42" s="64" t="b">
        <v>1</v>
      </c>
      <c r="AR42" s="64" t="b">
        <v>0</v>
      </c>
      <c r="AS42" s="64"/>
      <c r="AT42" s="64"/>
      <c r="AU42" s="64">
        <v>0</v>
      </c>
      <c r="AV42" s="64"/>
      <c r="AW42" s="64" t="b">
        <v>0</v>
      </c>
      <c r="AX42" s="64" t="s">
        <v>1689</v>
      </c>
      <c r="AY42" s="111" t="str">
        <f>HYPERLINK("https://twitter.com/jiandevision")</f>
        <v>https://twitter.com/jiandevision</v>
      </c>
      <c r="AZ42" s="104" t="s">
        <v>66</v>
      </c>
      <c r="BA42" s="48"/>
      <c r="BB42" s="48"/>
      <c r="BC42" s="48"/>
      <c r="BD42" s="48"/>
      <c r="BE42" s="48" t="s">
        <v>1070</v>
      </c>
      <c r="BF42" s="48" t="s">
        <v>1970</v>
      </c>
      <c r="BG42" s="83" t="s">
        <v>1991</v>
      </c>
      <c r="BH42" s="83" t="s">
        <v>1991</v>
      </c>
      <c r="BI42" s="83" t="s">
        <v>2036</v>
      </c>
      <c r="BJ42" s="83" t="s">
        <v>2036</v>
      </c>
      <c r="BK42" s="105"/>
      <c r="BL42" s="106"/>
      <c r="BM42" s="105"/>
      <c r="BN42" s="106"/>
      <c r="BO42" s="105"/>
      <c r="BP42" s="106"/>
      <c r="BQ42" s="48">
        <v>29</v>
      </c>
      <c r="BR42" s="49">
        <v>65.9090909090909</v>
      </c>
      <c r="BS42" s="48">
        <v>44</v>
      </c>
      <c r="BT42" s="63" t="str">
        <f>REPLACE(INDEX(GroupVertices[Group],MATCH(Vertices[[#This Row],[Vertex]],GroupVertices[Vertex],0)),1,1,"")</f>
        <v>7</v>
      </c>
      <c r="BU42" s="138" t="s">
        <v>1435</v>
      </c>
      <c r="BV42" s="48">
        <v>0</v>
      </c>
      <c r="BW42" s="49">
        <v>0</v>
      </c>
      <c r="BX42" s="48">
        <v>0</v>
      </c>
      <c r="BY42" s="49">
        <v>0</v>
      </c>
      <c r="BZ42" s="48">
        <v>0</v>
      </c>
      <c r="CA42" s="49">
        <v>0</v>
      </c>
      <c r="CB42" s="107"/>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3">
        <v>8</v>
      </c>
      <c r="DJ42" s="63">
        <v>64</v>
      </c>
      <c r="DK42" s="63" t="b">
        <v>0</v>
      </c>
      <c r="DL42" s="63"/>
      <c r="DM42" s="63"/>
      <c r="DN42" s="63" t="b">
        <v>0</v>
      </c>
      <c r="DO42" s="63" t="b">
        <v>1</v>
      </c>
      <c r="DP42" s="63" t="b">
        <v>0</v>
      </c>
      <c r="DQ42" s="63" t="b">
        <v>0</v>
      </c>
      <c r="DR42" s="63" t="b">
        <v>0</v>
      </c>
      <c r="DS42" s="63"/>
      <c r="DT42" s="63" t="s">
        <v>1687</v>
      </c>
      <c r="DU42" s="63" t="b">
        <v>0</v>
      </c>
      <c r="DV42" s="63"/>
    </row>
    <row r="43" spans="1:126" ht="41.45" customHeight="1">
      <c r="A43" s="62" t="s">
        <v>939</v>
      </c>
      <c r="B43" s="64"/>
      <c r="C43" s="78"/>
      <c r="D43" s="78" t="s">
        <v>64</v>
      </c>
      <c r="E43" s="84">
        <v>650.6500013917998</v>
      </c>
      <c r="F43" s="112">
        <v>98.21350832198027</v>
      </c>
      <c r="G43" s="69" t="str">
        <f>HYPERLINK("https://pbs.twimg.com/profile_images/1631723279676317709/-fjgaR2p_normal.jpg")</f>
        <v>https://pbs.twimg.com/profile_images/1631723279676317709/-fjgaR2p_normal.jpg</v>
      </c>
      <c r="H43" s="113"/>
      <c r="I43" s="70" t="s">
        <v>939</v>
      </c>
      <c r="J43" s="114"/>
      <c r="K43" s="114"/>
      <c r="L43" s="70" t="s">
        <v>1729</v>
      </c>
      <c r="M43" s="115">
        <v>596.3781265613746</v>
      </c>
      <c r="N43" s="91">
        <v>7258.11669921875</v>
      </c>
      <c r="O43" s="91">
        <v>5316.30859375</v>
      </c>
      <c r="P43" s="92"/>
      <c r="Q43" s="93"/>
      <c r="R43" s="93"/>
      <c r="S43" s="116"/>
      <c r="T43" s="48">
        <v>2</v>
      </c>
      <c r="U43" s="48">
        <v>1</v>
      </c>
      <c r="V43" s="49">
        <v>0</v>
      </c>
      <c r="W43" s="49">
        <v>0.028125</v>
      </c>
      <c r="X43" s="49">
        <v>0</v>
      </c>
      <c r="Y43" s="49">
        <v>0.015027</v>
      </c>
      <c r="Z43" s="49">
        <v>0</v>
      </c>
      <c r="AA43" s="49">
        <v>0</v>
      </c>
      <c r="AB43" s="88">
        <v>43</v>
      </c>
      <c r="AC43" s="135"/>
      <c r="AD43" s="89"/>
      <c r="AE43" s="64" t="s">
        <v>1493</v>
      </c>
      <c r="AF43" s="64">
        <v>57</v>
      </c>
      <c r="AG43" s="64">
        <v>9321958</v>
      </c>
      <c r="AH43" s="64">
        <v>984366</v>
      </c>
      <c r="AI43" s="64"/>
      <c r="AJ43" s="64"/>
      <c r="AK43" s="64" t="s">
        <v>1620</v>
      </c>
      <c r="AL43" s="64" t="s">
        <v>1567</v>
      </c>
      <c r="AM43" s="64"/>
      <c r="AN43" s="64"/>
      <c r="AO43" s="110">
        <v>39926.837002314816</v>
      </c>
      <c r="AP43" s="111" t="str">
        <f>HYPERLINK("https://pbs.twimg.com/profile_banners/34713362/1693185763")</f>
        <v>https://pbs.twimg.com/profile_banners/34713362/1693185763</v>
      </c>
      <c r="AQ43" s="64" t="b">
        <v>0</v>
      </c>
      <c r="AR43" s="64" t="b">
        <v>0</v>
      </c>
      <c r="AS43" s="64"/>
      <c r="AT43" s="64"/>
      <c r="AU43" s="64">
        <v>71020</v>
      </c>
      <c r="AV43" s="64"/>
      <c r="AW43" s="64" t="b">
        <v>0</v>
      </c>
      <c r="AX43" s="64" t="s">
        <v>1689</v>
      </c>
      <c r="AY43" s="111" t="str">
        <f>HYPERLINK("https://twitter.com/business")</f>
        <v>https://twitter.com/business</v>
      </c>
      <c r="AZ43" s="104" t="s">
        <v>66</v>
      </c>
      <c r="BA43" s="48"/>
      <c r="BB43" s="48"/>
      <c r="BC43" s="48"/>
      <c r="BD43" s="48"/>
      <c r="BE43" s="48"/>
      <c r="BF43" s="48"/>
      <c r="BG43" s="83" t="s">
        <v>1992</v>
      </c>
      <c r="BH43" s="83" t="s">
        <v>1992</v>
      </c>
      <c r="BI43" s="83" t="s">
        <v>2037</v>
      </c>
      <c r="BJ43" s="83" t="s">
        <v>2037</v>
      </c>
      <c r="BK43" s="105"/>
      <c r="BL43" s="106"/>
      <c r="BM43" s="105"/>
      <c r="BN43" s="106"/>
      <c r="BO43" s="105"/>
      <c r="BP43" s="106"/>
      <c r="BQ43" s="48">
        <v>12</v>
      </c>
      <c r="BR43" s="49">
        <v>70.58823529411765</v>
      </c>
      <c r="BS43" s="48">
        <v>17</v>
      </c>
      <c r="BT43" s="63" t="str">
        <f>REPLACE(INDEX(GroupVertices[Group],MATCH(Vertices[[#This Row],[Vertex]],GroupVertices[Vertex],0)),1,1,"")</f>
        <v>7</v>
      </c>
      <c r="BU43" s="138" t="s">
        <v>1534</v>
      </c>
      <c r="BV43" s="48">
        <v>0</v>
      </c>
      <c r="BW43" s="49">
        <v>0</v>
      </c>
      <c r="BX43" s="48">
        <v>0</v>
      </c>
      <c r="BY43" s="49">
        <v>0</v>
      </c>
      <c r="BZ43" s="48">
        <v>0</v>
      </c>
      <c r="CA43" s="49">
        <v>0</v>
      </c>
      <c r="CB43" s="107"/>
      <c r="CC43" s="64"/>
      <c r="CD43" s="111" t="str">
        <f>HYPERLINK("https://t.co/bFEYDg8UQy")</f>
        <v>https://t.co/bFEYDg8UQy</v>
      </c>
      <c r="CE43" s="111" t="str">
        <f>HYPERLINK("http://bloomberg.com")</f>
        <v>http://bloomberg.com</v>
      </c>
      <c r="CF43" s="64" t="s">
        <v>1655</v>
      </c>
      <c r="CG43" s="64" t="s">
        <v>1671</v>
      </c>
      <c r="CH43" s="64" t="s">
        <v>1674</v>
      </c>
      <c r="CI43" s="64" t="s">
        <v>1681</v>
      </c>
      <c r="CJ43" s="64"/>
      <c r="CK43" s="64"/>
      <c r="CL43" s="64"/>
      <c r="CM43" s="64">
        <v>1.7015227206792E+18</v>
      </c>
      <c r="CN43" s="111" t="str">
        <f>HYPERLINK("https://t.co/bFEYDg8UQy")</f>
        <v>https://t.co/bFEYDg8UQy</v>
      </c>
      <c r="CO43" s="64"/>
      <c r="CP43" s="64"/>
      <c r="CQ43" s="64"/>
      <c r="CR43" s="64"/>
      <c r="CS43" s="64"/>
      <c r="CT43" s="64"/>
      <c r="CU43" s="64"/>
      <c r="CV43" s="64"/>
      <c r="CW43" s="64"/>
      <c r="CX43" s="64"/>
      <c r="CY43" s="64"/>
      <c r="CZ43" s="64"/>
      <c r="DA43" s="64"/>
      <c r="DB43" s="64"/>
      <c r="DC43" s="64"/>
      <c r="DD43" s="64"/>
      <c r="DE43" s="64"/>
      <c r="DF43" s="64"/>
      <c r="DG43" s="64"/>
      <c r="DH43" s="64"/>
      <c r="DI43" s="63">
        <v>4165</v>
      </c>
      <c r="DJ43" s="63">
        <v>305790</v>
      </c>
      <c r="DK43" s="63" t="b">
        <v>1</v>
      </c>
      <c r="DL43" s="63"/>
      <c r="DM43" s="63"/>
      <c r="DN43" s="63" t="b">
        <v>1</v>
      </c>
      <c r="DO43" s="63" t="b">
        <v>1</v>
      </c>
      <c r="DP43" s="63" t="b">
        <v>1</v>
      </c>
      <c r="DQ43" s="63" t="b">
        <v>0</v>
      </c>
      <c r="DR43" s="63" t="b">
        <v>0</v>
      </c>
      <c r="DS43" s="63"/>
      <c r="DT43" s="63" t="s">
        <v>1687</v>
      </c>
      <c r="DU43" s="63" t="b">
        <v>0</v>
      </c>
      <c r="DV43" s="63"/>
    </row>
    <row r="44" spans="1:126" ht="41.45" customHeight="1">
      <c r="A44" s="62" t="s">
        <v>920</v>
      </c>
      <c r="B44" s="64"/>
      <c r="C44" s="78"/>
      <c r="D44" s="78" t="s">
        <v>64</v>
      </c>
      <c r="E44" s="84">
        <v>162.1510722644332</v>
      </c>
      <c r="F44" s="112">
        <v>99.99944768373597</v>
      </c>
      <c r="G44" s="69" t="str">
        <f>HYPERLINK("https://pbs.twimg.com/profile_images/1610677455479607305/CjiHP6qq_normal.jpg")</f>
        <v>https://pbs.twimg.com/profile_images/1610677455479607305/CjiHP6qq_normal.jpg</v>
      </c>
      <c r="H44" s="113"/>
      <c r="I44" s="70" t="s">
        <v>920</v>
      </c>
      <c r="J44" s="114"/>
      <c r="K44" s="114"/>
      <c r="L44" s="70" t="s">
        <v>1730</v>
      </c>
      <c r="M44" s="115">
        <v>1.184068600260791</v>
      </c>
      <c r="N44" s="91">
        <v>6542.75390625</v>
      </c>
      <c r="O44" s="91">
        <v>9020.53515625</v>
      </c>
      <c r="P44" s="92"/>
      <c r="Q44" s="93"/>
      <c r="R44" s="93"/>
      <c r="S44" s="116"/>
      <c r="T44" s="48">
        <v>2</v>
      </c>
      <c r="U44" s="48">
        <v>1</v>
      </c>
      <c r="V44" s="49">
        <v>0</v>
      </c>
      <c r="W44" s="49">
        <v>0.043269</v>
      </c>
      <c r="X44" s="49">
        <v>0</v>
      </c>
      <c r="Y44" s="49">
        <v>0.014834</v>
      </c>
      <c r="Z44" s="49">
        <v>0</v>
      </c>
      <c r="AA44" s="49">
        <v>0</v>
      </c>
      <c r="AB44" s="88">
        <v>44</v>
      </c>
      <c r="AC44" s="135"/>
      <c r="AD44" s="89"/>
      <c r="AE44" s="64" t="s">
        <v>1494</v>
      </c>
      <c r="AF44" s="64">
        <v>562</v>
      </c>
      <c r="AG44" s="64">
        <v>2882</v>
      </c>
      <c r="AH44" s="64">
        <v>38630</v>
      </c>
      <c r="AI44" s="64"/>
      <c r="AJ44" s="64"/>
      <c r="AK44" s="64" t="s">
        <v>1621</v>
      </c>
      <c r="AL44" s="64" t="s">
        <v>1568</v>
      </c>
      <c r="AM44" s="64"/>
      <c r="AN44" s="64"/>
      <c r="AO44" s="110">
        <v>44329.30783564815</v>
      </c>
      <c r="AP44" s="111" t="str">
        <f>HYPERLINK("https://pbs.twimg.com/profile_banners/1392742201906667521/1692515479")</f>
        <v>https://pbs.twimg.com/profile_banners/1392742201906667521/1692515479</v>
      </c>
      <c r="AQ44" s="64" t="b">
        <v>1</v>
      </c>
      <c r="AR44" s="64" t="b">
        <v>0</v>
      </c>
      <c r="AS44" s="64"/>
      <c r="AT44" s="64"/>
      <c r="AU44" s="64">
        <v>20</v>
      </c>
      <c r="AV44" s="64"/>
      <c r="AW44" s="64" t="b">
        <v>0</v>
      </c>
      <c r="AX44" s="64" t="s">
        <v>1689</v>
      </c>
      <c r="AY44" s="111" t="str">
        <f>HYPERLINK("https://twitter.com/savichtakes")</f>
        <v>https://twitter.com/savichtakes</v>
      </c>
      <c r="AZ44" s="104" t="s">
        <v>66</v>
      </c>
      <c r="BA44" s="48"/>
      <c r="BB44" s="48"/>
      <c r="BC44" s="48"/>
      <c r="BD44" s="48"/>
      <c r="BE44" s="48"/>
      <c r="BF44" s="48"/>
      <c r="BG44" s="83" t="s">
        <v>1993</v>
      </c>
      <c r="BH44" s="83" t="s">
        <v>1993</v>
      </c>
      <c r="BI44" s="83" t="s">
        <v>2038</v>
      </c>
      <c r="BJ44" s="83" t="s">
        <v>2038</v>
      </c>
      <c r="BK44" s="105"/>
      <c r="BL44" s="106"/>
      <c r="BM44" s="105"/>
      <c r="BN44" s="106"/>
      <c r="BO44" s="105"/>
      <c r="BP44" s="106"/>
      <c r="BQ44" s="48">
        <v>23</v>
      </c>
      <c r="BR44" s="49">
        <v>67.6470588235294</v>
      </c>
      <c r="BS44" s="48">
        <v>34</v>
      </c>
      <c r="BT44" s="63" t="str">
        <f>REPLACE(INDEX(GroupVertices[Group],MATCH(Vertices[[#This Row],[Vertex]],GroupVertices[Vertex],0)),1,1,"")</f>
        <v>3</v>
      </c>
      <c r="BU44" s="138" t="s">
        <v>1436</v>
      </c>
      <c r="BV44" s="48">
        <v>0</v>
      </c>
      <c r="BW44" s="49">
        <v>0</v>
      </c>
      <c r="BX44" s="48">
        <v>0</v>
      </c>
      <c r="BY44" s="49">
        <v>0</v>
      </c>
      <c r="BZ44" s="48">
        <v>0</v>
      </c>
      <c r="CA44" s="49">
        <v>0</v>
      </c>
      <c r="CB44" s="107"/>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3">
        <v>55417</v>
      </c>
      <c r="DJ44" s="63">
        <v>7743</v>
      </c>
      <c r="DK44" s="63" t="b">
        <v>1</v>
      </c>
      <c r="DL44" s="63"/>
      <c r="DM44" s="63"/>
      <c r="DN44" s="63" t="b">
        <v>1</v>
      </c>
      <c r="DO44" s="63" t="b">
        <v>0</v>
      </c>
      <c r="DP44" s="63" t="b">
        <v>1</v>
      </c>
      <c r="DQ44" s="63" t="b">
        <v>0</v>
      </c>
      <c r="DR44" s="63" t="b">
        <v>0</v>
      </c>
      <c r="DS44" s="63"/>
      <c r="DT44" s="63" t="s">
        <v>1687</v>
      </c>
      <c r="DU44" s="63" t="b">
        <v>0</v>
      </c>
      <c r="DV44" s="63"/>
    </row>
    <row r="45" spans="1:126" ht="41.45" customHeight="1">
      <c r="A45" s="62" t="s">
        <v>921</v>
      </c>
      <c r="B45" s="64"/>
      <c r="C45" s="78"/>
      <c r="D45" s="78" t="s">
        <v>64</v>
      </c>
      <c r="E45" s="84">
        <v>162.00828224072882</v>
      </c>
      <c r="F45" s="112">
        <v>99.99996972034361</v>
      </c>
      <c r="G45" s="69" t="str">
        <f>HYPERLINK("https://pbs.twimg.com/profile_images/1420443557463302145/alGwqDfE_normal.jpg")</f>
        <v>https://pbs.twimg.com/profile_images/1420443557463302145/alGwqDfE_normal.jpg</v>
      </c>
      <c r="H45" s="113"/>
      <c r="I45" s="70" t="s">
        <v>921</v>
      </c>
      <c r="J45" s="114"/>
      <c r="K45" s="114"/>
      <c r="L45" s="70" t="s">
        <v>1731</v>
      </c>
      <c r="M45" s="115">
        <v>1.01009120015309</v>
      </c>
      <c r="N45" s="91">
        <v>5585.15869140625</v>
      </c>
      <c r="O45" s="91">
        <v>8632.8388671875</v>
      </c>
      <c r="P45" s="92"/>
      <c r="Q45" s="93"/>
      <c r="R45" s="93"/>
      <c r="S45" s="116"/>
      <c r="T45" s="48">
        <v>0</v>
      </c>
      <c r="U45" s="48">
        <v>4</v>
      </c>
      <c r="V45" s="49">
        <v>26</v>
      </c>
      <c r="W45" s="49">
        <v>0.070313</v>
      </c>
      <c r="X45" s="49">
        <v>0</v>
      </c>
      <c r="Y45" s="49">
        <v>0.017199</v>
      </c>
      <c r="Z45" s="49">
        <v>0</v>
      </c>
      <c r="AA45" s="49">
        <v>0</v>
      </c>
      <c r="AB45" s="88">
        <v>45</v>
      </c>
      <c r="AC45" s="135"/>
      <c r="AD45" s="89"/>
      <c r="AE45" s="64" t="s">
        <v>1495</v>
      </c>
      <c r="AF45" s="64">
        <v>138</v>
      </c>
      <c r="AG45" s="64">
        <v>158</v>
      </c>
      <c r="AH45" s="64">
        <v>8154</v>
      </c>
      <c r="AI45" s="64"/>
      <c r="AJ45" s="64"/>
      <c r="AK45" s="64"/>
      <c r="AL45" s="64" t="s">
        <v>1569</v>
      </c>
      <c r="AM45" s="64"/>
      <c r="AN45" s="64"/>
      <c r="AO45" s="110">
        <v>40227.067395833335</v>
      </c>
      <c r="AP45" s="111" t="str">
        <f>HYPERLINK("https://pbs.twimg.com/profile_banners/115235401/1588588000")</f>
        <v>https://pbs.twimg.com/profile_banners/115235401/1588588000</v>
      </c>
      <c r="AQ45" s="64" t="b">
        <v>0</v>
      </c>
      <c r="AR45" s="64" t="b">
        <v>0</v>
      </c>
      <c r="AS45" s="64"/>
      <c r="AT45" s="64"/>
      <c r="AU45" s="64">
        <v>2</v>
      </c>
      <c r="AV45" s="64"/>
      <c r="AW45" s="64" t="b">
        <v>0</v>
      </c>
      <c r="AX45" s="64" t="s">
        <v>1689</v>
      </c>
      <c r="AY45" s="111" t="str">
        <f>HYPERLINK("https://twitter.com/jeremyl_7")</f>
        <v>https://twitter.com/jeremyl_7</v>
      </c>
      <c r="AZ45" s="104" t="s">
        <v>66</v>
      </c>
      <c r="BA45" s="48"/>
      <c r="BB45" s="48"/>
      <c r="BC45" s="48"/>
      <c r="BD45" s="48"/>
      <c r="BE45" s="48"/>
      <c r="BF45" s="48"/>
      <c r="BG45" s="83" t="s">
        <v>1994</v>
      </c>
      <c r="BH45" s="83" t="s">
        <v>1994</v>
      </c>
      <c r="BI45" s="83" t="s">
        <v>2039</v>
      </c>
      <c r="BJ45" s="83" t="s">
        <v>2039</v>
      </c>
      <c r="BK45" s="105"/>
      <c r="BL45" s="106"/>
      <c r="BM45" s="105"/>
      <c r="BN45" s="106"/>
      <c r="BO45" s="105"/>
      <c r="BP45" s="106"/>
      <c r="BQ45" s="48">
        <v>38</v>
      </c>
      <c r="BR45" s="49">
        <v>65.51724137931035</v>
      </c>
      <c r="BS45" s="48">
        <v>58</v>
      </c>
      <c r="BT45" s="63" t="str">
        <f>REPLACE(INDEX(GroupVertices[Group],MATCH(Vertices[[#This Row],[Vertex]],GroupVertices[Vertex],0)),1,1,"")</f>
        <v>3</v>
      </c>
      <c r="BU45" s="138" t="s">
        <v>1535</v>
      </c>
      <c r="BV45" s="48">
        <v>0</v>
      </c>
      <c r="BW45" s="49">
        <v>0</v>
      </c>
      <c r="BX45" s="48">
        <v>0</v>
      </c>
      <c r="BY45" s="49">
        <v>0</v>
      </c>
      <c r="BZ45" s="48">
        <v>0</v>
      </c>
      <c r="CA45" s="49">
        <v>0</v>
      </c>
      <c r="CB45" s="107"/>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3">
        <v>6499</v>
      </c>
      <c r="DJ45" s="63">
        <v>165</v>
      </c>
      <c r="DK45" s="63" t="b">
        <v>0</v>
      </c>
      <c r="DL45" s="63"/>
      <c r="DM45" s="63"/>
      <c r="DN45" s="63" t="b">
        <v>0</v>
      </c>
      <c r="DO45" s="63" t="b">
        <v>1</v>
      </c>
      <c r="DP45" s="63" t="b">
        <v>1</v>
      </c>
      <c r="DQ45" s="63" t="b">
        <v>0</v>
      </c>
      <c r="DR45" s="63" t="b">
        <v>0</v>
      </c>
      <c r="DS45" s="63"/>
      <c r="DT45" s="63" t="s">
        <v>1687</v>
      </c>
      <c r="DU45" s="63" t="b">
        <v>0</v>
      </c>
      <c r="DV45" s="63"/>
    </row>
    <row r="46" spans="1:126" ht="41.45" customHeight="1">
      <c r="A46" s="62" t="s">
        <v>933</v>
      </c>
      <c r="B46" s="64"/>
      <c r="C46" s="78"/>
      <c r="D46" s="78" t="s">
        <v>64</v>
      </c>
      <c r="E46" s="84">
        <v>162.40163625610242</v>
      </c>
      <c r="F46" s="112">
        <v>99.99853162830846</v>
      </c>
      <c r="G46" s="69" t="str">
        <f>HYPERLINK("https://pbs.twimg.com/profile_images/1686366753973219328/zmehMSmA_normal.jpg")</f>
        <v>https://pbs.twimg.com/profile_images/1686366753973219328/zmehMSmA_normal.jpg</v>
      </c>
      <c r="H46" s="113"/>
      <c r="I46" s="70" t="s">
        <v>933</v>
      </c>
      <c r="J46" s="114"/>
      <c r="K46" s="114"/>
      <c r="L46" s="70" t="s">
        <v>1732</v>
      </c>
      <c r="M46" s="115">
        <v>1.4893593390694586</v>
      </c>
      <c r="N46" s="91">
        <v>4533.94287109375</v>
      </c>
      <c r="O46" s="91">
        <v>8551.14453125</v>
      </c>
      <c r="P46" s="92"/>
      <c r="Q46" s="93"/>
      <c r="R46" s="93"/>
      <c r="S46" s="116"/>
      <c r="T46" s="48">
        <v>2</v>
      </c>
      <c r="U46" s="48">
        <v>2</v>
      </c>
      <c r="V46" s="49">
        <v>10</v>
      </c>
      <c r="W46" s="49">
        <v>0.051136</v>
      </c>
      <c r="X46" s="49">
        <v>0</v>
      </c>
      <c r="Y46" s="49">
        <v>0.015627</v>
      </c>
      <c r="Z46" s="49">
        <v>0</v>
      </c>
      <c r="AA46" s="49">
        <v>0</v>
      </c>
      <c r="AB46" s="88">
        <v>46</v>
      </c>
      <c r="AC46" s="135"/>
      <c r="AD46" s="89"/>
      <c r="AE46" s="64" t="s">
        <v>1496</v>
      </c>
      <c r="AF46" s="64">
        <v>556</v>
      </c>
      <c r="AG46" s="64">
        <v>7662</v>
      </c>
      <c r="AH46" s="64">
        <v>10922</v>
      </c>
      <c r="AI46" s="64"/>
      <c r="AJ46" s="64"/>
      <c r="AK46" s="64" t="s">
        <v>1622</v>
      </c>
      <c r="AL46" s="64" t="s">
        <v>1569</v>
      </c>
      <c r="AM46" s="64"/>
      <c r="AN46" s="64"/>
      <c r="AO46" s="110">
        <v>45003.361666666664</v>
      </c>
      <c r="AP46" s="111" t="str">
        <f>HYPERLINK("https://pbs.twimg.com/profile_banners/1637011093745704961/1692303233")</f>
        <v>https://pbs.twimg.com/profile_banners/1637011093745704961/1692303233</v>
      </c>
      <c r="AQ46" s="64" t="b">
        <v>1</v>
      </c>
      <c r="AR46" s="64" t="b">
        <v>0</v>
      </c>
      <c r="AS46" s="64"/>
      <c r="AT46" s="64"/>
      <c r="AU46" s="64">
        <v>11</v>
      </c>
      <c r="AV46" s="64"/>
      <c r="AW46" s="64" t="b">
        <v>0</v>
      </c>
      <c r="AX46" s="64" t="s">
        <v>1689</v>
      </c>
      <c r="AY46" s="111" t="str">
        <f>HYPERLINK("https://twitter.com/mimitheblogger")</f>
        <v>https://twitter.com/mimitheblogger</v>
      </c>
      <c r="AZ46" s="104" t="s">
        <v>66</v>
      </c>
      <c r="BA46" s="48"/>
      <c r="BB46" s="48"/>
      <c r="BC46" s="48"/>
      <c r="BD46" s="48"/>
      <c r="BE46" s="48"/>
      <c r="BF46" s="48"/>
      <c r="BG46" s="83" t="s">
        <v>1995</v>
      </c>
      <c r="BH46" s="83" t="s">
        <v>1995</v>
      </c>
      <c r="BI46" s="83" t="s">
        <v>2040</v>
      </c>
      <c r="BJ46" s="83" t="s">
        <v>2040</v>
      </c>
      <c r="BK46" s="105"/>
      <c r="BL46" s="106"/>
      <c r="BM46" s="105"/>
      <c r="BN46" s="106"/>
      <c r="BO46" s="105"/>
      <c r="BP46" s="106"/>
      <c r="BQ46" s="48">
        <v>11</v>
      </c>
      <c r="BR46" s="49">
        <v>78.57142857142857</v>
      </c>
      <c r="BS46" s="48">
        <v>14</v>
      </c>
      <c r="BT46" s="63" t="str">
        <f>REPLACE(INDEX(GroupVertices[Group],MATCH(Vertices[[#This Row],[Vertex]],GroupVertices[Vertex],0)),1,1,"")</f>
        <v>3</v>
      </c>
      <c r="BU46" s="138" t="s">
        <v>1440</v>
      </c>
      <c r="BV46" s="48">
        <v>0</v>
      </c>
      <c r="BW46" s="49">
        <v>0</v>
      </c>
      <c r="BX46" s="48">
        <v>0</v>
      </c>
      <c r="BY46" s="49">
        <v>0</v>
      </c>
      <c r="BZ46" s="48">
        <v>0</v>
      </c>
      <c r="CA46" s="49">
        <v>0</v>
      </c>
      <c r="CB46" s="107"/>
      <c r="CC46" s="64"/>
      <c r="CD46" s="111" t="str">
        <f>HYPERLINK("https://t.co/s6aa61MDyZ")</f>
        <v>https://t.co/s6aa61MDyZ</v>
      </c>
      <c r="CE46" s="111" t="str">
        <f>HYPERLINK("https://linktr.ee/mimithemusicblogger1")</f>
        <v>https://linktr.ee/mimithemusicblogger1</v>
      </c>
      <c r="CF46" s="64" t="s">
        <v>1656</v>
      </c>
      <c r="CG46" s="64"/>
      <c r="CH46" s="64"/>
      <c r="CI46" s="64"/>
      <c r="CJ46" s="64"/>
      <c r="CK46" s="64"/>
      <c r="CL46" s="64"/>
      <c r="CM46" s="64">
        <v>1.66783751865646E+18</v>
      </c>
      <c r="CN46" s="111" t="str">
        <f>HYPERLINK("https://t.co/s6aa61MDyZ")</f>
        <v>https://t.co/s6aa61MDyZ</v>
      </c>
      <c r="CO46" s="64"/>
      <c r="CP46" s="64"/>
      <c r="CQ46" s="64"/>
      <c r="CR46" s="64"/>
      <c r="CS46" s="64"/>
      <c r="CT46" s="64"/>
      <c r="CU46" s="64"/>
      <c r="CV46" s="64"/>
      <c r="CW46" s="64"/>
      <c r="CX46" s="64"/>
      <c r="CY46" s="64"/>
      <c r="CZ46" s="64"/>
      <c r="DA46" s="64"/>
      <c r="DB46" s="64"/>
      <c r="DC46" s="64"/>
      <c r="DD46" s="64"/>
      <c r="DE46" s="64"/>
      <c r="DF46" s="64"/>
      <c r="DG46" s="64"/>
      <c r="DH46" s="64"/>
      <c r="DI46" s="63">
        <v>5722</v>
      </c>
      <c r="DJ46" s="63">
        <v>2219</v>
      </c>
      <c r="DK46" s="63" t="b">
        <v>0</v>
      </c>
      <c r="DL46" s="63"/>
      <c r="DM46" s="63"/>
      <c r="DN46" s="63" t="b">
        <v>1</v>
      </c>
      <c r="DO46" s="63" t="b">
        <v>1</v>
      </c>
      <c r="DP46" s="63" t="b">
        <v>1</v>
      </c>
      <c r="DQ46" s="63" t="b">
        <v>0</v>
      </c>
      <c r="DR46" s="63" t="b">
        <v>0</v>
      </c>
      <c r="DS46" s="63"/>
      <c r="DT46" s="63" t="s">
        <v>1687</v>
      </c>
      <c r="DU46" s="63" t="b">
        <v>0</v>
      </c>
      <c r="DV46" s="63"/>
    </row>
    <row r="47" spans="1:126" ht="41.45" customHeight="1">
      <c r="A47" s="62" t="s">
        <v>930</v>
      </c>
      <c r="B47" s="64"/>
      <c r="C47" s="78"/>
      <c r="D47" s="78" t="s">
        <v>64</v>
      </c>
      <c r="E47" s="84">
        <v>162.13298762486713</v>
      </c>
      <c r="F47" s="112">
        <v>99.99951380070719</v>
      </c>
      <c r="G47" s="69" t="str">
        <f>HYPERLINK("https://pbs.twimg.com/profile_images/1610744523616919553/2VXaWAOU_normal.jpg")</f>
        <v>https://pbs.twimg.com/profile_images/1610744523616919553/2VXaWAOU_normal.jpg</v>
      </c>
      <c r="H47" s="113"/>
      <c r="I47" s="70" t="s">
        <v>930</v>
      </c>
      <c r="J47" s="114"/>
      <c r="K47" s="114"/>
      <c r="L47" s="70" t="s">
        <v>1733</v>
      </c>
      <c r="M47" s="115">
        <v>1.1620340176480315</v>
      </c>
      <c r="N47" s="91">
        <v>5531.87548828125</v>
      </c>
      <c r="O47" s="91">
        <v>9478.21875</v>
      </c>
      <c r="P47" s="92"/>
      <c r="Q47" s="93"/>
      <c r="R47" s="93"/>
      <c r="S47" s="116"/>
      <c r="T47" s="48">
        <v>2</v>
      </c>
      <c r="U47" s="48">
        <v>1</v>
      </c>
      <c r="V47" s="49">
        <v>0</v>
      </c>
      <c r="W47" s="49">
        <v>0.043269</v>
      </c>
      <c r="X47" s="49">
        <v>0</v>
      </c>
      <c r="Y47" s="49">
        <v>0.014834</v>
      </c>
      <c r="Z47" s="49">
        <v>0</v>
      </c>
      <c r="AA47" s="49">
        <v>0</v>
      </c>
      <c r="AB47" s="88">
        <v>47</v>
      </c>
      <c r="AC47" s="135"/>
      <c r="AD47" s="89"/>
      <c r="AE47" s="64" t="s">
        <v>1497</v>
      </c>
      <c r="AF47" s="64">
        <v>4311</v>
      </c>
      <c r="AG47" s="64">
        <v>2537</v>
      </c>
      <c r="AH47" s="64">
        <v>62558</v>
      </c>
      <c r="AI47" s="64"/>
      <c r="AJ47" s="64"/>
      <c r="AK47" s="64" t="s">
        <v>1623</v>
      </c>
      <c r="AL47" s="64"/>
      <c r="AM47" s="64"/>
      <c r="AN47" s="64"/>
      <c r="AO47" s="110">
        <v>43761.901412037034</v>
      </c>
      <c r="AP47" s="111" t="str">
        <f>HYPERLINK("https://pbs.twimg.com/profile_banners/1187120970164776960/1684877583")</f>
        <v>https://pbs.twimg.com/profile_banners/1187120970164776960/1684877583</v>
      </c>
      <c r="AQ47" s="64" t="b">
        <v>1</v>
      </c>
      <c r="AR47" s="64" t="b">
        <v>0</v>
      </c>
      <c r="AS47" s="64"/>
      <c r="AT47" s="64"/>
      <c r="AU47" s="64">
        <v>10</v>
      </c>
      <c r="AV47" s="64"/>
      <c r="AW47" s="64" t="b">
        <v>0</v>
      </c>
      <c r="AX47" s="64" t="s">
        <v>1689</v>
      </c>
      <c r="AY47" s="111" t="str">
        <f>HYPERLINK("https://twitter.com/kieronfish")</f>
        <v>https://twitter.com/kieronfish</v>
      </c>
      <c r="AZ47" s="104" t="s">
        <v>66</v>
      </c>
      <c r="BA47" s="48"/>
      <c r="BB47" s="48"/>
      <c r="BC47" s="48"/>
      <c r="BD47" s="48"/>
      <c r="BE47" s="48"/>
      <c r="BF47" s="48"/>
      <c r="BG47" s="83" t="s">
        <v>1996</v>
      </c>
      <c r="BH47" s="83" t="s">
        <v>1996</v>
      </c>
      <c r="BI47" s="83" t="s">
        <v>2041</v>
      </c>
      <c r="BJ47" s="83" t="s">
        <v>2041</v>
      </c>
      <c r="BK47" s="105"/>
      <c r="BL47" s="106"/>
      <c r="BM47" s="105"/>
      <c r="BN47" s="106"/>
      <c r="BO47" s="105"/>
      <c r="BP47" s="106"/>
      <c r="BQ47" s="48">
        <v>6</v>
      </c>
      <c r="BR47" s="49">
        <v>75</v>
      </c>
      <c r="BS47" s="48">
        <v>8</v>
      </c>
      <c r="BT47" s="63" t="str">
        <f>REPLACE(INDEX(GroupVertices[Group],MATCH(Vertices[[#This Row],[Vertex]],GroupVertices[Vertex],0)),1,1,"")</f>
        <v>3</v>
      </c>
      <c r="BU47" s="138" t="s">
        <v>1438</v>
      </c>
      <c r="BV47" s="48">
        <v>0</v>
      </c>
      <c r="BW47" s="49">
        <v>0</v>
      </c>
      <c r="BX47" s="48">
        <v>0</v>
      </c>
      <c r="BY47" s="49">
        <v>0</v>
      </c>
      <c r="BZ47" s="48">
        <v>0</v>
      </c>
      <c r="CA47" s="49">
        <v>0</v>
      </c>
      <c r="CB47" s="107"/>
      <c r="CC47" s="64"/>
      <c r="CD47" s="64"/>
      <c r="CE47" s="64"/>
      <c r="CF47" s="64"/>
      <c r="CG47" s="64"/>
      <c r="CH47" s="64"/>
      <c r="CI47" s="64"/>
      <c r="CJ47" s="64"/>
      <c r="CK47" s="64"/>
      <c r="CL47" s="64"/>
      <c r="CM47" s="64">
        <v>1.60948722032669E+18</v>
      </c>
      <c r="CN47" s="64"/>
      <c r="CO47" s="64"/>
      <c r="CP47" s="64"/>
      <c r="CQ47" s="64"/>
      <c r="CR47" s="64"/>
      <c r="CS47" s="64"/>
      <c r="CT47" s="64"/>
      <c r="CU47" s="64"/>
      <c r="CV47" s="64"/>
      <c r="CW47" s="64"/>
      <c r="CX47" s="64"/>
      <c r="CY47" s="64"/>
      <c r="CZ47" s="64"/>
      <c r="DA47" s="64"/>
      <c r="DB47" s="64"/>
      <c r="DC47" s="64"/>
      <c r="DD47" s="64"/>
      <c r="DE47" s="64"/>
      <c r="DF47" s="64"/>
      <c r="DG47" s="64"/>
      <c r="DH47" s="64"/>
      <c r="DI47" s="63">
        <v>128302</v>
      </c>
      <c r="DJ47" s="63">
        <v>4167</v>
      </c>
      <c r="DK47" s="63" t="b">
        <v>0</v>
      </c>
      <c r="DL47" s="63"/>
      <c r="DM47" s="63"/>
      <c r="DN47" s="63" t="b">
        <v>0</v>
      </c>
      <c r="DO47" s="63" t="b">
        <v>1</v>
      </c>
      <c r="DP47" s="63" t="b">
        <v>1</v>
      </c>
      <c r="DQ47" s="63" t="b">
        <v>0</v>
      </c>
      <c r="DR47" s="63" t="b">
        <v>0</v>
      </c>
      <c r="DS47" s="63"/>
      <c r="DT47" s="63" t="s">
        <v>1687</v>
      </c>
      <c r="DU47" s="63" t="b">
        <v>0</v>
      </c>
      <c r="DV47" s="63"/>
    </row>
    <row r="48" spans="1:126" ht="41.45" customHeight="1">
      <c r="A48" s="62" t="s">
        <v>922</v>
      </c>
      <c r="B48" s="64"/>
      <c r="C48" s="78"/>
      <c r="D48" s="78" t="s">
        <v>64</v>
      </c>
      <c r="E48" s="84">
        <v>163.64297639976743</v>
      </c>
      <c r="F48" s="112">
        <v>99.99399332107437</v>
      </c>
      <c r="G48" s="69" t="str">
        <f>HYPERLINK("https://pbs.twimg.com/profile_images/1623552966837039112/-lRznnfc_normal.jpg")</f>
        <v>https://pbs.twimg.com/profile_images/1623552966837039112/-lRznnfc_normal.jpg</v>
      </c>
      <c r="H48" s="113"/>
      <c r="I48" s="70" t="s">
        <v>922</v>
      </c>
      <c r="J48" s="114"/>
      <c r="K48" s="114"/>
      <c r="L48" s="70" t="s">
        <v>1734</v>
      </c>
      <c r="M48" s="115">
        <v>3.00182586328035</v>
      </c>
      <c r="N48" s="91">
        <v>521.2159423828125</v>
      </c>
      <c r="O48" s="91">
        <v>6741.5673828125</v>
      </c>
      <c r="P48" s="92"/>
      <c r="Q48" s="93"/>
      <c r="R48" s="93"/>
      <c r="S48" s="116"/>
      <c r="T48" s="48">
        <v>2</v>
      </c>
      <c r="U48" s="48">
        <v>1</v>
      </c>
      <c r="V48" s="49">
        <v>0</v>
      </c>
      <c r="W48" s="49">
        <v>0.09375</v>
      </c>
      <c r="X48" s="49">
        <v>0.240742</v>
      </c>
      <c r="Y48" s="49">
        <v>0.014535</v>
      </c>
      <c r="Z48" s="49">
        <v>0</v>
      </c>
      <c r="AA48" s="49">
        <v>0</v>
      </c>
      <c r="AB48" s="88">
        <v>48</v>
      </c>
      <c r="AC48" s="135"/>
      <c r="AD48" s="89"/>
      <c r="AE48" s="64" t="s">
        <v>1498</v>
      </c>
      <c r="AF48" s="64">
        <v>422</v>
      </c>
      <c r="AG48" s="64">
        <v>31343</v>
      </c>
      <c r="AH48" s="64">
        <v>1869</v>
      </c>
      <c r="AI48" s="64"/>
      <c r="AJ48" s="64"/>
      <c r="AK48" s="64" t="s">
        <v>1624</v>
      </c>
      <c r="AL48" s="64" t="s">
        <v>1570</v>
      </c>
      <c r="AM48" s="64"/>
      <c r="AN48" s="64"/>
      <c r="AO48" s="110">
        <v>44315.41716435185</v>
      </c>
      <c r="AP48" s="111" t="str">
        <f>HYPERLINK("https://pbs.twimg.com/profile_banners/1387708368056328194/1675867834")</f>
        <v>https://pbs.twimg.com/profile_banners/1387708368056328194/1675867834</v>
      </c>
      <c r="AQ48" s="64" t="b">
        <v>1</v>
      </c>
      <c r="AR48" s="64" t="b">
        <v>0</v>
      </c>
      <c r="AS48" s="64"/>
      <c r="AT48" s="64"/>
      <c r="AU48" s="64">
        <v>463</v>
      </c>
      <c r="AV48" s="64"/>
      <c r="AW48" s="64" t="b">
        <v>0</v>
      </c>
      <c r="AX48" s="64" t="s">
        <v>1689</v>
      </c>
      <c r="AY48" s="111" t="str">
        <f>HYPERLINK("https://twitter.com/crypto_qianxun")</f>
        <v>https://twitter.com/crypto_qianxun</v>
      </c>
      <c r="AZ48" s="104" t="s">
        <v>66</v>
      </c>
      <c r="BA48" s="48" t="s">
        <v>1760</v>
      </c>
      <c r="BB48" s="48" t="s">
        <v>1760</v>
      </c>
      <c r="BC48" s="48" t="s">
        <v>1090</v>
      </c>
      <c r="BD48" s="48" t="s">
        <v>1090</v>
      </c>
      <c r="BE48" s="48"/>
      <c r="BF48" s="48"/>
      <c r="BG48" s="83" t="s">
        <v>1997</v>
      </c>
      <c r="BH48" s="83" t="s">
        <v>1997</v>
      </c>
      <c r="BI48" s="83" t="s">
        <v>2042</v>
      </c>
      <c r="BJ48" s="83" t="s">
        <v>2042</v>
      </c>
      <c r="BK48" s="105"/>
      <c r="BL48" s="106"/>
      <c r="BM48" s="105"/>
      <c r="BN48" s="106"/>
      <c r="BO48" s="105"/>
      <c r="BP48" s="106"/>
      <c r="BQ48" s="48">
        <v>11</v>
      </c>
      <c r="BR48" s="49">
        <v>100</v>
      </c>
      <c r="BS48" s="48">
        <v>11</v>
      </c>
      <c r="BT48" s="63" t="str">
        <f>REPLACE(INDEX(GroupVertices[Group],MATCH(Vertices[[#This Row],[Vertex]],GroupVertices[Vertex],0)),1,1,"")</f>
        <v>1</v>
      </c>
      <c r="BU48" s="138" t="s">
        <v>1409</v>
      </c>
      <c r="BV48" s="48">
        <v>0</v>
      </c>
      <c r="BW48" s="49">
        <v>0</v>
      </c>
      <c r="BX48" s="48">
        <v>0</v>
      </c>
      <c r="BY48" s="49">
        <v>0</v>
      </c>
      <c r="BZ48" s="48">
        <v>0</v>
      </c>
      <c r="CA48" s="49">
        <v>0</v>
      </c>
      <c r="CB48" s="107"/>
      <c r="CC48" s="64"/>
      <c r="CD48" s="111" t="str">
        <f>HYPERLINK("https://t.co/O7SifcuHmk")</f>
        <v>https://t.co/O7SifcuHmk</v>
      </c>
      <c r="CE48" s="111" t="str">
        <f>HYPERLINK("http://youtube.com/@wwbsz")</f>
        <v>http://youtube.com/@wwbsz</v>
      </c>
      <c r="CF48" s="64" t="s">
        <v>1657</v>
      </c>
      <c r="CG48" s="64"/>
      <c r="CH48" s="64"/>
      <c r="CI48" s="64"/>
      <c r="CJ48" s="64"/>
      <c r="CK48" s="64"/>
      <c r="CL48" s="64"/>
      <c r="CM48" s="64"/>
      <c r="CN48" s="111" t="str">
        <f>HYPERLINK("https://t.co/O7SifcuHmk")</f>
        <v>https://t.co/O7SifcuHmk</v>
      </c>
      <c r="CO48" s="64"/>
      <c r="CP48" s="64"/>
      <c r="CQ48" s="64"/>
      <c r="CR48" s="64"/>
      <c r="CS48" s="64"/>
      <c r="CT48" s="64"/>
      <c r="CU48" s="64"/>
      <c r="CV48" s="64"/>
      <c r="CW48" s="64"/>
      <c r="CX48" s="64"/>
      <c r="CY48" s="64"/>
      <c r="CZ48" s="64"/>
      <c r="DA48" s="64"/>
      <c r="DB48" s="64"/>
      <c r="DC48" s="64"/>
      <c r="DD48" s="64"/>
      <c r="DE48" s="64"/>
      <c r="DF48" s="64"/>
      <c r="DG48" s="64"/>
      <c r="DH48" s="64"/>
      <c r="DI48" s="63">
        <v>4242</v>
      </c>
      <c r="DJ48" s="63">
        <v>488</v>
      </c>
      <c r="DK48" s="63" t="b">
        <v>1</v>
      </c>
      <c r="DL48" s="63"/>
      <c r="DM48" s="63"/>
      <c r="DN48" s="63" t="b">
        <v>1</v>
      </c>
      <c r="DO48" s="63" t="b">
        <v>1</v>
      </c>
      <c r="DP48" s="63" t="b">
        <v>1</v>
      </c>
      <c r="DQ48" s="63" t="b">
        <v>0</v>
      </c>
      <c r="DR48" s="63" t="b">
        <v>0</v>
      </c>
      <c r="DS48" s="63"/>
      <c r="DT48" s="63" t="s">
        <v>1687</v>
      </c>
      <c r="DU48" s="63" t="b">
        <v>0</v>
      </c>
      <c r="DV48" s="63"/>
    </row>
    <row r="49" spans="1:126" ht="41.45" customHeight="1">
      <c r="A49" s="62" t="s">
        <v>923</v>
      </c>
      <c r="B49" s="64"/>
      <c r="C49" s="78"/>
      <c r="D49" s="78" t="s">
        <v>64</v>
      </c>
      <c r="E49" s="84">
        <v>162.00125806188285</v>
      </c>
      <c r="F49" s="112">
        <v>99.99999540055852</v>
      </c>
      <c r="G49" s="69" t="str">
        <f>HYPERLINK("https://pbs.twimg.com/profile_images/1223036536028925952/FSgIEXZc_normal.jpg")</f>
        <v>https://pbs.twimg.com/profile_images/1223036536028925952/FSgIEXZc_normal.jpg</v>
      </c>
      <c r="H49" s="113"/>
      <c r="I49" s="70" t="s">
        <v>923</v>
      </c>
      <c r="J49" s="114"/>
      <c r="K49" s="114"/>
      <c r="L49" s="70" t="s">
        <v>1735</v>
      </c>
      <c r="M49" s="115">
        <v>1.0015328405295834</v>
      </c>
      <c r="N49" s="91">
        <v>1757.4371337890625</v>
      </c>
      <c r="O49" s="91">
        <v>5951.658203125</v>
      </c>
      <c r="P49" s="92"/>
      <c r="Q49" s="93"/>
      <c r="R49" s="93"/>
      <c r="S49" s="116"/>
      <c r="T49" s="48">
        <v>0</v>
      </c>
      <c r="U49" s="48">
        <v>11</v>
      </c>
      <c r="V49" s="49">
        <v>130</v>
      </c>
      <c r="W49" s="49">
        <v>0.173077</v>
      </c>
      <c r="X49" s="49">
        <v>0.659889</v>
      </c>
      <c r="Y49" s="49">
        <v>0.027</v>
      </c>
      <c r="Z49" s="49">
        <v>0</v>
      </c>
      <c r="AA49" s="49">
        <v>0</v>
      </c>
      <c r="AB49" s="88">
        <v>49</v>
      </c>
      <c r="AC49" s="135"/>
      <c r="AD49" s="89"/>
      <c r="AE49" s="64" t="s">
        <v>1499</v>
      </c>
      <c r="AF49" s="64">
        <v>251</v>
      </c>
      <c r="AG49" s="64">
        <v>24</v>
      </c>
      <c r="AH49" s="64">
        <v>881</v>
      </c>
      <c r="AI49" s="64"/>
      <c r="AJ49" s="64"/>
      <c r="AK49" s="64"/>
      <c r="AL49" s="64"/>
      <c r="AM49" s="64"/>
      <c r="AN49" s="64"/>
      <c r="AO49" s="110">
        <v>43702.06741898148</v>
      </c>
      <c r="AP49" s="111" t="str">
        <f>HYPERLINK("https://pbs.twimg.com/profile_banners/1165437834573991936/1575887855")</f>
        <v>https://pbs.twimg.com/profile_banners/1165437834573991936/1575887855</v>
      </c>
      <c r="AQ49" s="64" t="b">
        <v>1</v>
      </c>
      <c r="AR49" s="64" t="b">
        <v>0</v>
      </c>
      <c r="AS49" s="64"/>
      <c r="AT49" s="64"/>
      <c r="AU49" s="64">
        <v>0</v>
      </c>
      <c r="AV49" s="64"/>
      <c r="AW49" s="64" t="b">
        <v>0</v>
      </c>
      <c r="AX49" s="64" t="s">
        <v>1689</v>
      </c>
      <c r="AY49" s="111" t="str">
        <f>HYPERLINK("https://twitter.com/jeremyl99313994")</f>
        <v>https://twitter.com/jeremyl99313994</v>
      </c>
      <c r="AZ49" s="104" t="s">
        <v>66</v>
      </c>
      <c r="BA49" s="48" t="s">
        <v>1953</v>
      </c>
      <c r="BB49" s="48" t="s">
        <v>1956</v>
      </c>
      <c r="BC49" s="48" t="s">
        <v>1959</v>
      </c>
      <c r="BD49" s="48" t="s">
        <v>1963</v>
      </c>
      <c r="BE49" s="48" t="s">
        <v>1966</v>
      </c>
      <c r="BF49" s="48" t="s">
        <v>1971</v>
      </c>
      <c r="BG49" s="83" t="s">
        <v>1998</v>
      </c>
      <c r="BH49" s="83" t="s">
        <v>2014</v>
      </c>
      <c r="BI49" s="83" t="s">
        <v>2043</v>
      </c>
      <c r="BJ49" s="83" t="s">
        <v>2043</v>
      </c>
      <c r="BK49" s="105"/>
      <c r="BL49" s="106"/>
      <c r="BM49" s="105"/>
      <c r="BN49" s="106"/>
      <c r="BO49" s="105"/>
      <c r="BP49" s="106"/>
      <c r="BQ49" s="48">
        <v>188</v>
      </c>
      <c r="BR49" s="49">
        <v>92.15686274509804</v>
      </c>
      <c r="BS49" s="48">
        <v>204</v>
      </c>
      <c r="BT49" s="63" t="str">
        <f>REPLACE(INDEX(GroupVertices[Group],MATCH(Vertices[[#This Row],[Vertex]],GroupVertices[Vertex],0)),1,1,"")</f>
        <v>1</v>
      </c>
      <c r="BU49" s="138" t="s">
        <v>1437</v>
      </c>
      <c r="BV49" s="48">
        <v>0</v>
      </c>
      <c r="BW49" s="49">
        <v>0</v>
      </c>
      <c r="BX49" s="48">
        <v>0</v>
      </c>
      <c r="BY49" s="49">
        <v>0</v>
      </c>
      <c r="BZ49" s="48">
        <v>0</v>
      </c>
      <c r="CA49" s="49">
        <v>0</v>
      </c>
      <c r="CB49" s="107"/>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3">
        <v>494</v>
      </c>
      <c r="DJ49" s="63">
        <v>7</v>
      </c>
      <c r="DK49" s="63" t="b">
        <v>0</v>
      </c>
      <c r="DL49" s="63"/>
      <c r="DM49" s="63"/>
      <c r="DN49" s="63" t="b">
        <v>0</v>
      </c>
      <c r="DO49" s="63" t="b">
        <v>1</v>
      </c>
      <c r="DP49" s="63" t="b">
        <v>0</v>
      </c>
      <c r="DQ49" s="63" t="b">
        <v>0</v>
      </c>
      <c r="DR49" s="63" t="b">
        <v>0</v>
      </c>
      <c r="DS49" s="63"/>
      <c r="DT49" s="63" t="s">
        <v>1687</v>
      </c>
      <c r="DU49" s="63" t="b">
        <v>0</v>
      </c>
      <c r="DV49" s="63"/>
    </row>
    <row r="50" spans="1:126" ht="41.45" customHeight="1">
      <c r="A50" s="62" t="s">
        <v>924</v>
      </c>
      <c r="B50" s="64"/>
      <c r="C50" s="78"/>
      <c r="D50" s="78" t="s">
        <v>64</v>
      </c>
      <c r="E50" s="84">
        <v>164.95214704661655</v>
      </c>
      <c r="F50" s="112">
        <v>99.98920702728732</v>
      </c>
      <c r="G50" s="69" t="str">
        <f>HYPERLINK("https://pbs.twimg.com/profile_images/803996540696084480/Z-uk8--s_normal.jpg")</f>
        <v>https://pbs.twimg.com/profile_images/803996540696084480/Z-uk8--s_normal.jpg</v>
      </c>
      <c r="H50" s="113"/>
      <c r="I50" s="70" t="s">
        <v>924</v>
      </c>
      <c r="J50" s="114"/>
      <c r="K50" s="114"/>
      <c r="L50" s="70" t="s">
        <v>1736</v>
      </c>
      <c r="M50" s="115">
        <v>4.596938039377939</v>
      </c>
      <c r="N50" s="91">
        <v>3065.044921875</v>
      </c>
      <c r="O50" s="91">
        <v>6406.51025390625</v>
      </c>
      <c r="P50" s="92"/>
      <c r="Q50" s="93"/>
      <c r="R50" s="93"/>
      <c r="S50" s="116"/>
      <c r="T50" s="48">
        <v>2</v>
      </c>
      <c r="U50" s="48">
        <v>1</v>
      </c>
      <c r="V50" s="49">
        <v>0</v>
      </c>
      <c r="W50" s="49">
        <v>0.09375</v>
      </c>
      <c r="X50" s="49">
        <v>0.240742</v>
      </c>
      <c r="Y50" s="49">
        <v>0.014535</v>
      </c>
      <c r="Z50" s="49">
        <v>0</v>
      </c>
      <c r="AA50" s="49">
        <v>0</v>
      </c>
      <c r="AB50" s="88">
        <v>50</v>
      </c>
      <c r="AC50" s="135"/>
      <c r="AD50" s="89"/>
      <c r="AE50" s="64" t="s">
        <v>1500</v>
      </c>
      <c r="AF50" s="64">
        <v>1416</v>
      </c>
      <c r="AG50" s="64">
        <v>56318</v>
      </c>
      <c r="AH50" s="64">
        <v>7457</v>
      </c>
      <c r="AI50" s="64"/>
      <c r="AJ50" s="64"/>
      <c r="AK50" s="64" t="s">
        <v>1625</v>
      </c>
      <c r="AL50" s="64" t="s">
        <v>1571</v>
      </c>
      <c r="AM50" s="64"/>
      <c r="AN50" s="64"/>
      <c r="AO50" s="110">
        <v>40604.28743055555</v>
      </c>
      <c r="AP50" s="111" t="str">
        <f>HYPERLINK("https://pbs.twimg.com/profile_banners/259611996/1676681076")</f>
        <v>https://pbs.twimg.com/profile_banners/259611996/1676681076</v>
      </c>
      <c r="AQ50" s="64" t="b">
        <v>1</v>
      </c>
      <c r="AR50" s="64" t="b">
        <v>0</v>
      </c>
      <c r="AS50" s="64"/>
      <c r="AT50" s="64"/>
      <c r="AU50" s="64">
        <v>361</v>
      </c>
      <c r="AV50" s="64"/>
      <c r="AW50" s="64" t="b">
        <v>0</v>
      </c>
      <c r="AX50" s="64" t="s">
        <v>1689</v>
      </c>
      <c r="AY50" s="111" t="str">
        <f>HYPERLINK("https://twitter.com/bearbig")</f>
        <v>https://twitter.com/bearbig</v>
      </c>
      <c r="AZ50" s="104" t="s">
        <v>66</v>
      </c>
      <c r="BA50" s="48"/>
      <c r="BB50" s="48"/>
      <c r="BC50" s="48"/>
      <c r="BD50" s="48"/>
      <c r="BE50" s="48"/>
      <c r="BF50" s="48"/>
      <c r="BG50" s="83" t="s">
        <v>1999</v>
      </c>
      <c r="BH50" s="83" t="s">
        <v>1999</v>
      </c>
      <c r="BI50" s="83" t="s">
        <v>2044</v>
      </c>
      <c r="BJ50" s="83" t="s">
        <v>2044</v>
      </c>
      <c r="BK50" s="105"/>
      <c r="BL50" s="106"/>
      <c r="BM50" s="105"/>
      <c r="BN50" s="106"/>
      <c r="BO50" s="105"/>
      <c r="BP50" s="106"/>
      <c r="BQ50" s="48">
        <v>8</v>
      </c>
      <c r="BR50" s="49">
        <v>100</v>
      </c>
      <c r="BS50" s="48">
        <v>8</v>
      </c>
      <c r="BT50" s="63" t="str">
        <f>REPLACE(INDEX(GroupVertices[Group],MATCH(Vertices[[#This Row],[Vertex]],GroupVertices[Vertex],0)),1,1,"")</f>
        <v>1</v>
      </c>
      <c r="BU50" s="138" t="s">
        <v>1410</v>
      </c>
      <c r="BV50" s="48">
        <v>0</v>
      </c>
      <c r="BW50" s="49">
        <v>0</v>
      </c>
      <c r="BX50" s="48">
        <v>0</v>
      </c>
      <c r="BY50" s="49">
        <v>0</v>
      </c>
      <c r="BZ50" s="48">
        <v>0</v>
      </c>
      <c r="CA50" s="49">
        <v>0</v>
      </c>
      <c r="CB50" s="107"/>
      <c r="CC50" s="64"/>
      <c r="CD50" s="111" t="str">
        <f>HYPERLINK("https://t.co/FHmZzjmbVl")</f>
        <v>https://t.co/FHmZzjmbVl</v>
      </c>
      <c r="CE50" s="111" t="str">
        <f>HYPERLINK("https://bearliu.substack.com/")</f>
        <v>https://bearliu.substack.com/</v>
      </c>
      <c r="CF50" s="64" t="s">
        <v>1658</v>
      </c>
      <c r="CG50" s="64"/>
      <c r="CH50" s="64"/>
      <c r="CI50" s="64"/>
      <c r="CJ50" s="64"/>
      <c r="CK50" s="64"/>
      <c r="CL50" s="64"/>
      <c r="CM50" s="64"/>
      <c r="CN50" s="111" t="str">
        <f>HYPERLINK("https://t.co/FHmZzjmbVl")</f>
        <v>https://t.co/FHmZzjmbVl</v>
      </c>
      <c r="CO50" s="64"/>
      <c r="CP50" s="64"/>
      <c r="CQ50" s="64"/>
      <c r="CR50" s="64"/>
      <c r="CS50" s="64"/>
      <c r="CT50" s="64"/>
      <c r="CU50" s="64"/>
      <c r="CV50" s="64"/>
      <c r="CW50" s="64"/>
      <c r="CX50" s="64"/>
      <c r="CY50" s="64"/>
      <c r="CZ50" s="64"/>
      <c r="DA50" s="64"/>
      <c r="DB50" s="64"/>
      <c r="DC50" s="64"/>
      <c r="DD50" s="64"/>
      <c r="DE50" s="64"/>
      <c r="DF50" s="64"/>
      <c r="DG50" s="64"/>
      <c r="DH50" s="64"/>
      <c r="DI50" s="63">
        <v>1152</v>
      </c>
      <c r="DJ50" s="63">
        <v>2908</v>
      </c>
      <c r="DK50" s="63" t="b">
        <v>1</v>
      </c>
      <c r="DL50" s="63"/>
      <c r="DM50" s="63"/>
      <c r="DN50" s="63" t="b">
        <v>1</v>
      </c>
      <c r="DO50" s="63" t="b">
        <v>1</v>
      </c>
      <c r="DP50" s="63" t="b">
        <v>1</v>
      </c>
      <c r="DQ50" s="63" t="b">
        <v>0</v>
      </c>
      <c r="DR50" s="63" t="b">
        <v>0</v>
      </c>
      <c r="DS50" s="63"/>
      <c r="DT50" s="63" t="s">
        <v>1687</v>
      </c>
      <c r="DU50" s="63" t="b">
        <v>0</v>
      </c>
      <c r="DV50" s="63"/>
    </row>
    <row r="51" spans="1:126" ht="41.45" customHeight="1">
      <c r="A51" s="62" t="s">
        <v>925</v>
      </c>
      <c r="B51" s="64"/>
      <c r="C51" s="78"/>
      <c r="D51" s="78" t="s">
        <v>64</v>
      </c>
      <c r="E51" s="84">
        <v>163.0776348411581</v>
      </c>
      <c r="F51" s="112">
        <v>99.99606019508812</v>
      </c>
      <c r="G51" s="69" t="str">
        <f>HYPERLINK("https://pbs.twimg.com/profile_images/1477903349278453762/0OBeufkj_normal.jpg")</f>
        <v>https://pbs.twimg.com/profile_images/1477903349278453762/0OBeufkj_normal.jpg</v>
      </c>
      <c r="H51" s="113"/>
      <c r="I51" s="70" t="s">
        <v>925</v>
      </c>
      <c r="J51" s="114"/>
      <c r="K51" s="114"/>
      <c r="L51" s="70" t="s">
        <v>1737</v>
      </c>
      <c r="M51" s="115">
        <v>2.3130056502988685</v>
      </c>
      <c r="N51" s="91">
        <v>2107.0400390625</v>
      </c>
      <c r="O51" s="91">
        <v>4131.53125</v>
      </c>
      <c r="P51" s="92"/>
      <c r="Q51" s="93"/>
      <c r="R51" s="93"/>
      <c r="S51" s="116"/>
      <c r="T51" s="48">
        <v>2</v>
      </c>
      <c r="U51" s="48">
        <v>1</v>
      </c>
      <c r="V51" s="49">
        <v>0</v>
      </c>
      <c r="W51" s="49">
        <v>0.09375</v>
      </c>
      <c r="X51" s="49">
        <v>0.240742</v>
      </c>
      <c r="Y51" s="49">
        <v>0.014535</v>
      </c>
      <c r="Z51" s="49">
        <v>0</v>
      </c>
      <c r="AA51" s="49">
        <v>0</v>
      </c>
      <c r="AB51" s="88">
        <v>51</v>
      </c>
      <c r="AC51" s="135"/>
      <c r="AD51" s="89"/>
      <c r="AE51" s="64" t="s">
        <v>1501</v>
      </c>
      <c r="AF51" s="64">
        <v>1419</v>
      </c>
      <c r="AG51" s="64">
        <v>20558</v>
      </c>
      <c r="AH51" s="64">
        <v>5335</v>
      </c>
      <c r="AI51" s="64"/>
      <c r="AJ51" s="64"/>
      <c r="AK51" s="64" t="s">
        <v>1626</v>
      </c>
      <c r="AL51" s="64"/>
      <c r="AM51" s="64"/>
      <c r="AN51" s="64"/>
      <c r="AO51" s="110">
        <v>40808.21344907407</v>
      </c>
      <c r="AP51" s="111" t="str">
        <f>HYPERLINK("https://pbs.twimg.com/profile_banners/377823810/1635403486")</f>
        <v>https://pbs.twimg.com/profile_banners/377823810/1635403486</v>
      </c>
      <c r="AQ51" s="64" t="b">
        <v>1</v>
      </c>
      <c r="AR51" s="64" t="b">
        <v>0</v>
      </c>
      <c r="AS51" s="64"/>
      <c r="AT51" s="64"/>
      <c r="AU51" s="64">
        <v>204</v>
      </c>
      <c r="AV51" s="64"/>
      <c r="AW51" s="64" t="b">
        <v>0</v>
      </c>
      <c r="AX51" s="64" t="s">
        <v>1689</v>
      </c>
      <c r="AY51" s="111" t="str">
        <f>HYPERLINK("https://twitter.com/ftium4")</f>
        <v>https://twitter.com/ftium4</v>
      </c>
      <c r="AZ51" s="104" t="s">
        <v>66</v>
      </c>
      <c r="BA51" s="48" t="s">
        <v>1759</v>
      </c>
      <c r="BB51" s="48" t="s">
        <v>1759</v>
      </c>
      <c r="BC51" s="48" t="s">
        <v>1091</v>
      </c>
      <c r="BD51" s="48" t="s">
        <v>1091</v>
      </c>
      <c r="BE51" s="48"/>
      <c r="BF51" s="48"/>
      <c r="BG51" s="83" t="s">
        <v>2000</v>
      </c>
      <c r="BH51" s="83" t="s">
        <v>2000</v>
      </c>
      <c r="BI51" s="83" t="s">
        <v>2045</v>
      </c>
      <c r="BJ51" s="83" t="s">
        <v>2045</v>
      </c>
      <c r="BK51" s="105"/>
      <c r="BL51" s="106"/>
      <c r="BM51" s="105"/>
      <c r="BN51" s="106"/>
      <c r="BO51" s="105"/>
      <c r="BP51" s="106"/>
      <c r="BQ51" s="48">
        <v>16</v>
      </c>
      <c r="BR51" s="49">
        <v>100</v>
      </c>
      <c r="BS51" s="48">
        <v>16</v>
      </c>
      <c r="BT51" s="63" t="str">
        <f>REPLACE(INDEX(GroupVertices[Group],MATCH(Vertices[[#This Row],[Vertex]],GroupVertices[Vertex],0)),1,1,"")</f>
        <v>1</v>
      </c>
      <c r="BU51" s="138" t="s">
        <v>1411</v>
      </c>
      <c r="BV51" s="48">
        <v>0</v>
      </c>
      <c r="BW51" s="49">
        <v>0</v>
      </c>
      <c r="BX51" s="48">
        <v>0</v>
      </c>
      <c r="BY51" s="49">
        <v>0</v>
      </c>
      <c r="BZ51" s="48">
        <v>0</v>
      </c>
      <c r="CA51" s="49">
        <v>0</v>
      </c>
      <c r="CB51" s="107"/>
      <c r="CC51" s="64"/>
      <c r="CD51" s="111" t="str">
        <f>HYPERLINK("https://t.co/bXVe2gsFck")</f>
        <v>https://t.co/bXVe2gsFck</v>
      </c>
      <c r="CE51" s="111" t="str">
        <f>HYPERLINK("http://www.ftium4.com")</f>
        <v>http://www.ftium4.com</v>
      </c>
      <c r="CF51" s="64" t="s">
        <v>1659</v>
      </c>
      <c r="CG51" s="64"/>
      <c r="CH51" s="64"/>
      <c r="CI51" s="64"/>
      <c r="CJ51" s="64"/>
      <c r="CK51" s="64"/>
      <c r="CL51" s="64"/>
      <c r="CM51" s="64"/>
      <c r="CN51" s="111" t="str">
        <f>HYPERLINK("https://t.co/bXVe2gsFck")</f>
        <v>https://t.co/bXVe2gsFck</v>
      </c>
      <c r="CO51" s="64"/>
      <c r="CP51" s="64"/>
      <c r="CQ51" s="64"/>
      <c r="CR51" s="64"/>
      <c r="CS51" s="64"/>
      <c r="CT51" s="64"/>
      <c r="CU51" s="64"/>
      <c r="CV51" s="64"/>
      <c r="CW51" s="64"/>
      <c r="CX51" s="64"/>
      <c r="CY51" s="64"/>
      <c r="CZ51" s="64"/>
      <c r="DA51" s="64"/>
      <c r="DB51" s="64"/>
      <c r="DC51" s="64"/>
      <c r="DD51" s="64"/>
      <c r="DE51" s="64"/>
      <c r="DF51" s="64"/>
      <c r="DG51" s="64"/>
      <c r="DH51" s="64"/>
      <c r="DI51" s="63">
        <v>7580</v>
      </c>
      <c r="DJ51" s="63">
        <v>2567</v>
      </c>
      <c r="DK51" s="63" t="b">
        <v>0</v>
      </c>
      <c r="DL51" s="63"/>
      <c r="DM51" s="63"/>
      <c r="DN51" s="63" t="b">
        <v>1</v>
      </c>
      <c r="DO51" s="63" t="b">
        <v>1</v>
      </c>
      <c r="DP51" s="63" t="b">
        <v>1</v>
      </c>
      <c r="DQ51" s="63" t="b">
        <v>0</v>
      </c>
      <c r="DR51" s="63" t="b">
        <v>0</v>
      </c>
      <c r="DS51" s="63"/>
      <c r="DT51" s="63" t="s">
        <v>1687</v>
      </c>
      <c r="DU51" s="63" t="b">
        <v>0</v>
      </c>
      <c r="DV51" s="63"/>
    </row>
    <row r="52" spans="1:126" ht="41.45" customHeight="1">
      <c r="A52" s="62" t="s">
        <v>926</v>
      </c>
      <c r="B52" s="64"/>
      <c r="C52" s="78"/>
      <c r="D52" s="78" t="s">
        <v>64</v>
      </c>
      <c r="E52" s="84">
        <v>162.19153992166514</v>
      </c>
      <c r="F52" s="112">
        <v>99.99929973503512</v>
      </c>
      <c r="G52" s="69" t="str">
        <f>HYPERLINK("https://pbs.twimg.com/profile_images/1638106713688805378/4v00_uOz_normal.jpg")</f>
        <v>https://pbs.twimg.com/profile_images/1638106713688805378/4v00_uOz_normal.jpg</v>
      </c>
      <c r="H52" s="113"/>
      <c r="I52" s="70" t="s">
        <v>926</v>
      </c>
      <c r="J52" s="114"/>
      <c r="K52" s="114"/>
      <c r="L52" s="70" t="s">
        <v>1738</v>
      </c>
      <c r="M52" s="115">
        <v>1.2333749706290527</v>
      </c>
      <c r="N52" s="91">
        <v>1187.6962890625</v>
      </c>
      <c r="O52" s="91">
        <v>7049.4150390625</v>
      </c>
      <c r="P52" s="92"/>
      <c r="Q52" s="93"/>
      <c r="R52" s="93"/>
      <c r="S52" s="116"/>
      <c r="T52" s="48">
        <v>2</v>
      </c>
      <c r="U52" s="48">
        <v>1</v>
      </c>
      <c r="V52" s="49">
        <v>0</v>
      </c>
      <c r="W52" s="49">
        <v>0.09375</v>
      </c>
      <c r="X52" s="49">
        <v>0.240742</v>
      </c>
      <c r="Y52" s="49">
        <v>0.014535</v>
      </c>
      <c r="Z52" s="49">
        <v>0</v>
      </c>
      <c r="AA52" s="49">
        <v>0</v>
      </c>
      <c r="AB52" s="88">
        <v>52</v>
      </c>
      <c r="AC52" s="135"/>
      <c r="AD52" s="89"/>
      <c r="AE52" s="64" t="s">
        <v>1502</v>
      </c>
      <c r="AF52" s="64">
        <v>1041</v>
      </c>
      <c r="AG52" s="64">
        <v>3654</v>
      </c>
      <c r="AH52" s="64">
        <v>6338</v>
      </c>
      <c r="AI52" s="64"/>
      <c r="AJ52" s="64"/>
      <c r="AK52" s="64" t="s">
        <v>1627</v>
      </c>
      <c r="AL52" s="64" t="s">
        <v>1572</v>
      </c>
      <c r="AM52" s="64"/>
      <c r="AN52" s="64"/>
      <c r="AO52" s="110">
        <v>44362.412511574075</v>
      </c>
      <c r="AP52" s="111" t="str">
        <f>HYPERLINK("https://pbs.twimg.com/profile_banners/1404738934043602947/1677035156")</f>
        <v>https://pbs.twimg.com/profile_banners/1404738934043602947/1677035156</v>
      </c>
      <c r="AQ52" s="64" t="b">
        <v>1</v>
      </c>
      <c r="AR52" s="64" t="b">
        <v>0</v>
      </c>
      <c r="AS52" s="64"/>
      <c r="AT52" s="64"/>
      <c r="AU52" s="64">
        <v>44</v>
      </c>
      <c r="AV52" s="64"/>
      <c r="AW52" s="64" t="b">
        <v>0</v>
      </c>
      <c r="AX52" s="64" t="s">
        <v>1689</v>
      </c>
      <c r="AY52" s="111" t="str">
        <f>HYPERLINK("https://twitter.com/jackywine")</f>
        <v>https://twitter.com/jackywine</v>
      </c>
      <c r="AZ52" s="104" t="s">
        <v>66</v>
      </c>
      <c r="BA52" s="48" t="s">
        <v>1758</v>
      </c>
      <c r="BB52" s="48" t="s">
        <v>1758</v>
      </c>
      <c r="BC52" s="48" t="s">
        <v>1092</v>
      </c>
      <c r="BD52" s="48" t="s">
        <v>1092</v>
      </c>
      <c r="BE52" s="48" t="s">
        <v>1072</v>
      </c>
      <c r="BF52" s="48" t="s">
        <v>1072</v>
      </c>
      <c r="BG52" s="83" t="s">
        <v>2001</v>
      </c>
      <c r="BH52" s="83" t="s">
        <v>2001</v>
      </c>
      <c r="BI52" s="83" t="s">
        <v>2046</v>
      </c>
      <c r="BJ52" s="83" t="s">
        <v>2046</v>
      </c>
      <c r="BK52" s="105"/>
      <c r="BL52" s="106"/>
      <c r="BM52" s="105"/>
      <c r="BN52" s="106"/>
      <c r="BO52" s="105"/>
      <c r="BP52" s="106"/>
      <c r="BQ52" s="48">
        <v>11</v>
      </c>
      <c r="BR52" s="49">
        <v>100</v>
      </c>
      <c r="BS52" s="48">
        <v>11</v>
      </c>
      <c r="BT52" s="63" t="str">
        <f>REPLACE(INDEX(GroupVertices[Group],MATCH(Vertices[[#This Row],[Vertex]],GroupVertices[Vertex],0)),1,1,"")</f>
        <v>1</v>
      </c>
      <c r="BU52" s="138" t="s">
        <v>1412</v>
      </c>
      <c r="BV52" s="48">
        <v>0</v>
      </c>
      <c r="BW52" s="49">
        <v>0</v>
      </c>
      <c r="BX52" s="48">
        <v>0</v>
      </c>
      <c r="BY52" s="49">
        <v>0</v>
      </c>
      <c r="BZ52" s="48">
        <v>0</v>
      </c>
      <c r="CA52" s="49">
        <v>0</v>
      </c>
      <c r="CB52" s="107"/>
      <c r="CC52" s="64"/>
      <c r="CD52" s="111" t="str">
        <f>HYPERLINK("https://t.co/Of8hzcqIfQ")</f>
        <v>https://t.co/Of8hzcqIfQ</v>
      </c>
      <c r="CE52" s="111" t="str">
        <f>HYPERLINK("http://figma.com/@jackywine1")</f>
        <v>http://figma.com/@jackywine1</v>
      </c>
      <c r="CF52" s="64" t="s">
        <v>1660</v>
      </c>
      <c r="CG52" s="111" t="str">
        <f>HYPERLINK("https://t.co/3iazbgJtUk")</f>
        <v>https://t.co/3iazbgJtUk</v>
      </c>
      <c r="CH52" s="111" t="str">
        <f>HYPERLINK("http://typefully.com/Jackywine")</f>
        <v>http://typefully.com/Jackywine</v>
      </c>
      <c r="CI52" s="64" t="s">
        <v>1682</v>
      </c>
      <c r="CJ52" s="64"/>
      <c r="CK52" s="64"/>
      <c r="CL52" s="64"/>
      <c r="CM52" s="64">
        <v>1.64530868604123E+18</v>
      </c>
      <c r="CN52" s="111" t="str">
        <f>HYPERLINK("https://t.co/Of8hzcqIfQ")</f>
        <v>https://t.co/Of8hzcqIfQ</v>
      </c>
      <c r="CO52" s="64"/>
      <c r="CP52" s="64"/>
      <c r="CQ52" s="64"/>
      <c r="CR52" s="64"/>
      <c r="CS52" s="64"/>
      <c r="CT52" s="64"/>
      <c r="CU52" s="64"/>
      <c r="CV52" s="64"/>
      <c r="CW52" s="64"/>
      <c r="CX52" s="64"/>
      <c r="CY52" s="64"/>
      <c r="CZ52" s="64"/>
      <c r="DA52" s="64"/>
      <c r="DB52" s="64"/>
      <c r="DC52" s="64"/>
      <c r="DD52" s="64"/>
      <c r="DE52" s="64"/>
      <c r="DF52" s="64"/>
      <c r="DG52" s="64"/>
      <c r="DH52" s="64"/>
      <c r="DI52" s="63">
        <v>21870</v>
      </c>
      <c r="DJ52" s="63">
        <v>853</v>
      </c>
      <c r="DK52" s="63" t="b">
        <v>0</v>
      </c>
      <c r="DL52" s="63"/>
      <c r="DM52" s="63"/>
      <c r="DN52" s="63" t="b">
        <v>1</v>
      </c>
      <c r="DO52" s="63" t="b">
        <v>0</v>
      </c>
      <c r="DP52" s="63" t="b">
        <v>1</v>
      </c>
      <c r="DQ52" s="63" t="b">
        <v>0</v>
      </c>
      <c r="DR52" s="63" t="b">
        <v>0</v>
      </c>
      <c r="DS52" s="63"/>
      <c r="DT52" s="63" t="s">
        <v>1687</v>
      </c>
      <c r="DU52" s="63" t="b">
        <v>0</v>
      </c>
      <c r="DV52" s="63"/>
    </row>
    <row r="53" spans="1:126" ht="41.45" customHeight="1">
      <c r="A53" s="62" t="s">
        <v>927</v>
      </c>
      <c r="B53" s="64"/>
      <c r="C53" s="78"/>
      <c r="D53" s="78" t="s">
        <v>64</v>
      </c>
      <c r="E53" s="84">
        <v>162.14273760445926</v>
      </c>
      <c r="F53" s="112">
        <v>99.99947815503575</v>
      </c>
      <c r="G53" s="69" t="str">
        <f>HYPERLINK("https://pbs.twimg.com/profile_images/1552319982956154880/ovry18-I_normal.png")</f>
        <v>https://pbs.twimg.com/profile_images/1552319982956154880/ovry18-I_normal.png</v>
      </c>
      <c r="H53" s="113"/>
      <c r="I53" s="70" t="s">
        <v>927</v>
      </c>
      <c r="J53" s="114"/>
      <c r="K53" s="114"/>
      <c r="L53" s="70" t="s">
        <v>1739</v>
      </c>
      <c r="M53" s="115">
        <v>1.1739135317523017</v>
      </c>
      <c r="N53" s="91">
        <v>3070.432373046875</v>
      </c>
      <c r="O53" s="91">
        <v>5319.2900390625</v>
      </c>
      <c r="P53" s="92"/>
      <c r="Q53" s="93"/>
      <c r="R53" s="93"/>
      <c r="S53" s="116"/>
      <c r="T53" s="48">
        <v>2</v>
      </c>
      <c r="U53" s="48">
        <v>1</v>
      </c>
      <c r="V53" s="49">
        <v>0</v>
      </c>
      <c r="W53" s="49">
        <v>0.09375</v>
      </c>
      <c r="X53" s="49">
        <v>0.240742</v>
      </c>
      <c r="Y53" s="49">
        <v>0.014535</v>
      </c>
      <c r="Z53" s="49">
        <v>0</v>
      </c>
      <c r="AA53" s="49">
        <v>0</v>
      </c>
      <c r="AB53" s="88">
        <v>53</v>
      </c>
      <c r="AC53" s="135"/>
      <c r="AD53" s="89"/>
      <c r="AE53" s="64" t="s">
        <v>1503</v>
      </c>
      <c r="AF53" s="64">
        <v>249</v>
      </c>
      <c r="AG53" s="64">
        <v>2723</v>
      </c>
      <c r="AH53" s="64">
        <v>1078</v>
      </c>
      <c r="AI53" s="64"/>
      <c r="AJ53" s="64"/>
      <c r="AK53" s="64" t="s">
        <v>1628</v>
      </c>
      <c r="AL53" s="64" t="s">
        <v>1573</v>
      </c>
      <c r="AM53" s="64"/>
      <c r="AN53" s="64"/>
      <c r="AO53" s="110">
        <v>43438.222025462965</v>
      </c>
      <c r="AP53" s="111" t="str">
        <f>HYPERLINK("https://pbs.twimg.com/profile_banners/1069823543658000385/1658933753")</f>
        <v>https://pbs.twimg.com/profile_banners/1069823543658000385/1658933753</v>
      </c>
      <c r="AQ53" s="64" t="b">
        <v>1</v>
      </c>
      <c r="AR53" s="64" t="b">
        <v>0</v>
      </c>
      <c r="AS53" s="64"/>
      <c r="AT53" s="64"/>
      <c r="AU53" s="64">
        <v>33</v>
      </c>
      <c r="AV53" s="64"/>
      <c r="AW53" s="64" t="b">
        <v>0</v>
      </c>
      <c r="AX53" s="64" t="s">
        <v>1689</v>
      </c>
      <c r="AY53" s="111" t="str">
        <f>HYPERLINK("https://twitter.com/gia917229015")</f>
        <v>https://twitter.com/gia917229015</v>
      </c>
      <c r="AZ53" s="104" t="s">
        <v>66</v>
      </c>
      <c r="BA53" s="48"/>
      <c r="BB53" s="48"/>
      <c r="BC53" s="48"/>
      <c r="BD53" s="48"/>
      <c r="BE53" s="48"/>
      <c r="BF53" s="48"/>
      <c r="BG53" s="83" t="s">
        <v>2002</v>
      </c>
      <c r="BH53" s="83" t="s">
        <v>2002</v>
      </c>
      <c r="BI53" s="83" t="s">
        <v>2047</v>
      </c>
      <c r="BJ53" s="83" t="s">
        <v>2047</v>
      </c>
      <c r="BK53" s="105"/>
      <c r="BL53" s="106"/>
      <c r="BM53" s="105"/>
      <c r="BN53" s="106"/>
      <c r="BO53" s="105"/>
      <c r="BP53" s="106"/>
      <c r="BQ53" s="48">
        <v>8</v>
      </c>
      <c r="BR53" s="49">
        <v>80</v>
      </c>
      <c r="BS53" s="48">
        <v>10</v>
      </c>
      <c r="BT53" s="63" t="str">
        <f>REPLACE(INDEX(GroupVertices[Group],MATCH(Vertices[[#This Row],[Vertex]],GroupVertices[Vertex],0)),1,1,"")</f>
        <v>1</v>
      </c>
      <c r="BU53" s="138" t="s">
        <v>1413</v>
      </c>
      <c r="BV53" s="48">
        <v>0</v>
      </c>
      <c r="BW53" s="49">
        <v>0</v>
      </c>
      <c r="BX53" s="48">
        <v>0</v>
      </c>
      <c r="BY53" s="49">
        <v>0</v>
      </c>
      <c r="BZ53" s="48">
        <v>0</v>
      </c>
      <c r="CA53" s="49">
        <v>0</v>
      </c>
      <c r="CB53" s="107"/>
      <c r="CC53" s="64"/>
      <c r="CD53" s="111" t="str">
        <f>HYPERLINK("https://t.co/WLCN3lw4Ts")</f>
        <v>https://t.co/WLCN3lw4Ts</v>
      </c>
      <c r="CE53" s="111" t="str">
        <f>HYPERLINK("https://vim0.com")</f>
        <v>https://vim0.com</v>
      </c>
      <c r="CF53" s="64" t="s">
        <v>1661</v>
      </c>
      <c r="CG53" s="64"/>
      <c r="CH53" s="64"/>
      <c r="CI53" s="64"/>
      <c r="CJ53" s="64"/>
      <c r="CK53" s="64"/>
      <c r="CL53" s="64"/>
      <c r="CM53" s="64">
        <v>1.65489475793469E+18</v>
      </c>
      <c r="CN53" s="111" t="str">
        <f>HYPERLINK("https://t.co/WLCN3lw4Ts")</f>
        <v>https://t.co/WLCN3lw4Ts</v>
      </c>
      <c r="CO53" s="64"/>
      <c r="CP53" s="64"/>
      <c r="CQ53" s="64"/>
      <c r="CR53" s="64"/>
      <c r="CS53" s="64"/>
      <c r="CT53" s="64"/>
      <c r="CU53" s="64"/>
      <c r="CV53" s="64"/>
      <c r="CW53" s="64"/>
      <c r="CX53" s="64"/>
      <c r="CY53" s="64"/>
      <c r="CZ53" s="64"/>
      <c r="DA53" s="64"/>
      <c r="DB53" s="64"/>
      <c r="DC53" s="64"/>
      <c r="DD53" s="64"/>
      <c r="DE53" s="64"/>
      <c r="DF53" s="64"/>
      <c r="DG53" s="64"/>
      <c r="DH53" s="64"/>
      <c r="DI53" s="63">
        <v>1794</v>
      </c>
      <c r="DJ53" s="63">
        <v>93</v>
      </c>
      <c r="DK53" s="63" t="b">
        <v>0</v>
      </c>
      <c r="DL53" s="63"/>
      <c r="DM53" s="63"/>
      <c r="DN53" s="63" t="b">
        <v>0</v>
      </c>
      <c r="DO53" s="63" t="b">
        <v>0</v>
      </c>
      <c r="DP53" s="63" t="b">
        <v>1</v>
      </c>
      <c r="DQ53" s="63" t="b">
        <v>0</v>
      </c>
      <c r="DR53" s="63" t="b">
        <v>0</v>
      </c>
      <c r="DS53" s="63"/>
      <c r="DT53" s="63" t="s">
        <v>1687</v>
      </c>
      <c r="DU53" s="63" t="b">
        <v>0</v>
      </c>
      <c r="DV53" s="63"/>
    </row>
    <row r="54" spans="1:126" ht="41.45" customHeight="1">
      <c r="A54" s="62" t="s">
        <v>957</v>
      </c>
      <c r="B54" s="64"/>
      <c r="C54" s="78"/>
      <c r="D54" s="78" t="s">
        <v>64</v>
      </c>
      <c r="E54" s="84">
        <v>165.48483141551665</v>
      </c>
      <c r="F54" s="112">
        <v>99.98725954710858</v>
      </c>
      <c r="G54" s="69" t="str">
        <f>HYPERLINK("https://pbs.twimg.com/profile_images/1577139853585973248/VFH3Pxe3_normal.png")</f>
        <v>https://pbs.twimg.com/profile_images/1577139853585973248/VFH3Pxe3_normal.png</v>
      </c>
      <c r="H54" s="113"/>
      <c r="I54" s="70" t="s">
        <v>957</v>
      </c>
      <c r="J54" s="114"/>
      <c r="K54" s="114"/>
      <c r="L54" s="70" t="s">
        <v>1740</v>
      </c>
      <c r="M54" s="115">
        <v>5.245968266945655</v>
      </c>
      <c r="N54" s="91">
        <v>482.2668762207031</v>
      </c>
      <c r="O54" s="91">
        <v>5718.94873046875</v>
      </c>
      <c r="P54" s="92"/>
      <c r="Q54" s="93"/>
      <c r="R54" s="93"/>
      <c r="S54" s="116"/>
      <c r="T54" s="48">
        <v>1</v>
      </c>
      <c r="U54" s="48">
        <v>0</v>
      </c>
      <c r="V54" s="49">
        <v>0</v>
      </c>
      <c r="W54" s="49">
        <v>0.09375</v>
      </c>
      <c r="X54" s="49">
        <v>0.176391</v>
      </c>
      <c r="Y54" s="49">
        <v>0.013445</v>
      </c>
      <c r="Z54" s="49">
        <v>0</v>
      </c>
      <c r="AA54" s="49">
        <v>0</v>
      </c>
      <c r="AB54" s="88">
        <v>54</v>
      </c>
      <c r="AC54" s="135"/>
      <c r="AD54" s="89"/>
      <c r="AE54" s="64" t="s">
        <v>1504</v>
      </c>
      <c r="AF54" s="64">
        <v>7264</v>
      </c>
      <c r="AG54" s="64">
        <v>66480</v>
      </c>
      <c r="AH54" s="64">
        <v>8934</v>
      </c>
      <c r="AI54" s="64"/>
      <c r="AJ54" s="64"/>
      <c r="AK54" s="64" t="s">
        <v>1629</v>
      </c>
      <c r="AL54" s="64" t="s">
        <v>1574</v>
      </c>
      <c r="AM54" s="64"/>
      <c r="AN54" s="64"/>
      <c r="AO54" s="110">
        <v>43052.82347222222</v>
      </c>
      <c r="AP54" s="111" t="str">
        <f>HYPERLINK("https://pbs.twimg.com/profile_banners/930159781729333249/1635014346")</f>
        <v>https://pbs.twimg.com/profile_banners/930159781729333249/1635014346</v>
      </c>
      <c r="AQ54" s="64" t="b">
        <v>0</v>
      </c>
      <c r="AR54" s="64" t="b">
        <v>0</v>
      </c>
      <c r="AS54" s="64"/>
      <c r="AT54" s="64"/>
      <c r="AU54" s="64">
        <v>874</v>
      </c>
      <c r="AV54" s="64"/>
      <c r="AW54" s="64" t="b">
        <v>0</v>
      </c>
      <c r="AX54" s="64" t="s">
        <v>1689</v>
      </c>
      <c r="AY54" s="111" t="str">
        <f>HYPERLINK("https://twitter.com/rickawsb")</f>
        <v>https://twitter.com/rickawsb</v>
      </c>
      <c r="AZ54" s="104" t="s">
        <v>65</v>
      </c>
      <c r="BA54" s="48"/>
      <c r="BB54" s="48"/>
      <c r="BC54" s="48"/>
      <c r="BD54" s="48"/>
      <c r="BE54" s="48"/>
      <c r="BF54" s="48"/>
      <c r="BG54" s="48"/>
      <c r="BH54" s="48"/>
      <c r="BI54" s="48"/>
      <c r="BJ54" s="48"/>
      <c r="BK54" s="105"/>
      <c r="BL54" s="106"/>
      <c r="BM54" s="105"/>
      <c r="BN54" s="106"/>
      <c r="BO54" s="105"/>
      <c r="BP54" s="106"/>
      <c r="BQ54" s="48"/>
      <c r="BR54" s="49"/>
      <c r="BS54" s="48"/>
      <c r="BT54" s="63" t="str">
        <f>REPLACE(INDEX(GroupVertices[Group],MATCH(Vertices[[#This Row],[Vertex]],GroupVertices[Vertex],0)),1,1,"")</f>
        <v>1</v>
      </c>
      <c r="BU54" s="138" t="s">
        <v>1414</v>
      </c>
      <c r="BV54" s="48"/>
      <c r="BW54" s="49"/>
      <c r="BX54" s="48"/>
      <c r="BY54" s="49"/>
      <c r="BZ54" s="48"/>
      <c r="CA54" s="49"/>
      <c r="CB54" s="107"/>
      <c r="CC54" s="64"/>
      <c r="CD54" s="64"/>
      <c r="CE54" s="64"/>
      <c r="CF54" s="64"/>
      <c r="CG54" s="64"/>
      <c r="CH54" s="64"/>
      <c r="CI54" s="64"/>
      <c r="CJ54" s="64"/>
      <c r="CK54" s="64"/>
      <c r="CL54" s="64"/>
      <c r="CM54" s="64">
        <v>1.70183783072366E+18</v>
      </c>
      <c r="CN54" s="64"/>
      <c r="CO54" s="64"/>
      <c r="CP54" s="64"/>
      <c r="CQ54" s="64"/>
      <c r="CR54" s="64"/>
      <c r="CS54" s="64"/>
      <c r="CT54" s="64"/>
      <c r="CU54" s="64"/>
      <c r="CV54" s="64"/>
      <c r="CW54" s="64"/>
      <c r="CX54" s="64"/>
      <c r="CY54" s="64"/>
      <c r="CZ54" s="64"/>
      <c r="DA54" s="64"/>
      <c r="DB54" s="64"/>
      <c r="DC54" s="64"/>
      <c r="DD54" s="64"/>
      <c r="DE54" s="64"/>
      <c r="DF54" s="64"/>
      <c r="DG54" s="64"/>
      <c r="DH54" s="64"/>
      <c r="DI54" s="63">
        <v>3050</v>
      </c>
      <c r="DJ54" s="63">
        <v>998</v>
      </c>
      <c r="DK54" s="63" t="b">
        <v>1</v>
      </c>
      <c r="DL54" s="63"/>
      <c r="DM54" s="63"/>
      <c r="DN54" s="63" t="b">
        <v>1</v>
      </c>
      <c r="DO54" s="63" t="b">
        <v>1</v>
      </c>
      <c r="DP54" s="63" t="b">
        <v>1</v>
      </c>
      <c r="DQ54" s="63" t="b">
        <v>0</v>
      </c>
      <c r="DR54" s="63" t="b">
        <v>0</v>
      </c>
      <c r="DS54" s="63"/>
      <c r="DT54" s="63" t="s">
        <v>1687</v>
      </c>
      <c r="DU54" s="63" t="b">
        <v>0</v>
      </c>
      <c r="DV54" s="63"/>
    </row>
    <row r="55" spans="1:126" ht="41.45" customHeight="1">
      <c r="A55" s="62" t="s">
        <v>928</v>
      </c>
      <c r="B55" s="64"/>
      <c r="C55" s="78"/>
      <c r="D55" s="78" t="s">
        <v>64</v>
      </c>
      <c r="E55" s="84">
        <v>163.06201390611264</v>
      </c>
      <c r="F55" s="112">
        <v>99.99611730481979</v>
      </c>
      <c r="G55" s="69" t="str">
        <f>HYPERLINK("https://pbs.twimg.com/profile_images/1578724430536388613/mmTYRTbf_normal.png")</f>
        <v>https://pbs.twimg.com/profile_images/1578724430536388613/mmTYRTbf_normal.png</v>
      </c>
      <c r="H55" s="113"/>
      <c r="I55" s="70" t="s">
        <v>928</v>
      </c>
      <c r="J55" s="114"/>
      <c r="K55" s="114"/>
      <c r="L55" s="70" t="s">
        <v>1741</v>
      </c>
      <c r="M55" s="115">
        <v>2.2939728803898762</v>
      </c>
      <c r="N55" s="91">
        <v>758.9558715820312</v>
      </c>
      <c r="O55" s="91">
        <v>4834.0283203125</v>
      </c>
      <c r="P55" s="92"/>
      <c r="Q55" s="93"/>
      <c r="R55" s="93"/>
      <c r="S55" s="116"/>
      <c r="T55" s="48">
        <v>2</v>
      </c>
      <c r="U55" s="48">
        <v>1</v>
      </c>
      <c r="V55" s="49">
        <v>0</v>
      </c>
      <c r="W55" s="49">
        <v>0.09375</v>
      </c>
      <c r="X55" s="49">
        <v>0.240742</v>
      </c>
      <c r="Y55" s="49">
        <v>0.014535</v>
      </c>
      <c r="Z55" s="49">
        <v>0</v>
      </c>
      <c r="AA55" s="49">
        <v>0</v>
      </c>
      <c r="AB55" s="88">
        <v>55</v>
      </c>
      <c r="AC55" s="135"/>
      <c r="AD55" s="89"/>
      <c r="AE55" s="64" t="s">
        <v>1505</v>
      </c>
      <c r="AF55" s="64">
        <v>433</v>
      </c>
      <c r="AG55" s="64">
        <v>20260</v>
      </c>
      <c r="AH55" s="64">
        <v>2297</v>
      </c>
      <c r="AI55" s="64"/>
      <c r="AJ55" s="64"/>
      <c r="AK55" s="64" t="s">
        <v>1630</v>
      </c>
      <c r="AL55" s="64" t="s">
        <v>1575</v>
      </c>
      <c r="AM55" s="64"/>
      <c r="AN55" s="64"/>
      <c r="AO55" s="110">
        <v>41745.398506944446</v>
      </c>
      <c r="AP55" s="111" t="str">
        <f>HYPERLINK("https://pbs.twimg.com/profile_banners/2446896679/1688982838")</f>
        <v>https://pbs.twimg.com/profile_banners/2446896679/1688982838</v>
      </c>
      <c r="AQ55" s="64" t="b">
        <v>1</v>
      </c>
      <c r="AR55" s="64" t="b">
        <v>0</v>
      </c>
      <c r="AS55" s="64"/>
      <c r="AT55" s="64"/>
      <c r="AU55" s="64">
        <v>368</v>
      </c>
      <c r="AV55" s="64"/>
      <c r="AW55" s="64" t="b">
        <v>0</v>
      </c>
      <c r="AX55" s="64" t="s">
        <v>1689</v>
      </c>
      <c r="AY55" s="111" t="str">
        <f>HYPERLINK("https://twitter.com/punk2898")</f>
        <v>https://twitter.com/punk2898</v>
      </c>
      <c r="AZ55" s="104" t="s">
        <v>66</v>
      </c>
      <c r="BA55" s="48"/>
      <c r="BB55" s="48"/>
      <c r="BC55" s="48"/>
      <c r="BD55" s="48"/>
      <c r="BE55" s="48"/>
      <c r="BF55" s="48"/>
      <c r="BG55" s="83" t="s">
        <v>2003</v>
      </c>
      <c r="BH55" s="83" t="s">
        <v>2003</v>
      </c>
      <c r="BI55" s="83" t="s">
        <v>2048</v>
      </c>
      <c r="BJ55" s="83" t="s">
        <v>2048</v>
      </c>
      <c r="BK55" s="105"/>
      <c r="BL55" s="106"/>
      <c r="BM55" s="105"/>
      <c r="BN55" s="106"/>
      <c r="BO55" s="105"/>
      <c r="BP55" s="106"/>
      <c r="BQ55" s="48">
        <v>12</v>
      </c>
      <c r="BR55" s="49">
        <v>100</v>
      </c>
      <c r="BS55" s="48">
        <v>12</v>
      </c>
      <c r="BT55" s="63" t="str">
        <f>REPLACE(INDEX(GroupVertices[Group],MATCH(Vertices[[#This Row],[Vertex]],GroupVertices[Vertex],0)),1,1,"")</f>
        <v>1</v>
      </c>
      <c r="BU55" s="138" t="s">
        <v>1415</v>
      </c>
      <c r="BV55" s="48">
        <v>0</v>
      </c>
      <c r="BW55" s="49">
        <v>0</v>
      </c>
      <c r="BX55" s="48">
        <v>0</v>
      </c>
      <c r="BY55" s="49">
        <v>0</v>
      </c>
      <c r="BZ55" s="48">
        <v>0</v>
      </c>
      <c r="CA55" s="49">
        <v>0</v>
      </c>
      <c r="CB55" s="107"/>
      <c r="CC55" s="64"/>
      <c r="CD55" s="111" t="str">
        <f>HYPERLINK("https://t.co/kIBHcxqwUr")</f>
        <v>https://t.co/kIBHcxqwUr</v>
      </c>
      <c r="CE55" s="111" t="str">
        <f>HYPERLINK("https://t.me/punk2898_club")</f>
        <v>https://t.me/punk2898_club</v>
      </c>
      <c r="CF55" s="64" t="s">
        <v>1662</v>
      </c>
      <c r="CG55" s="64"/>
      <c r="CH55" s="64"/>
      <c r="CI55" s="64"/>
      <c r="CJ55" s="64"/>
      <c r="CK55" s="64"/>
      <c r="CL55" s="64"/>
      <c r="CM55" s="64">
        <v>1.69677219994288E+18</v>
      </c>
      <c r="CN55" s="111" t="str">
        <f>HYPERLINK("https://t.co/kIBHcxqwUr")</f>
        <v>https://t.co/kIBHcxqwUr</v>
      </c>
      <c r="CO55" s="64"/>
      <c r="CP55" s="64"/>
      <c r="CQ55" s="64"/>
      <c r="CR55" s="64"/>
      <c r="CS55" s="64"/>
      <c r="CT55" s="64"/>
      <c r="CU55" s="64"/>
      <c r="CV55" s="64"/>
      <c r="CW55" s="64"/>
      <c r="CX55" s="64"/>
      <c r="CY55" s="64"/>
      <c r="CZ55" s="64"/>
      <c r="DA55" s="64"/>
      <c r="DB55" s="64"/>
      <c r="DC55" s="64"/>
      <c r="DD55" s="64"/>
      <c r="DE55" s="64"/>
      <c r="DF55" s="64"/>
      <c r="DG55" s="64"/>
      <c r="DH55" s="64"/>
      <c r="DI55" s="63">
        <v>5755</v>
      </c>
      <c r="DJ55" s="63">
        <v>375</v>
      </c>
      <c r="DK55" s="63" t="b">
        <v>1</v>
      </c>
      <c r="DL55" s="63"/>
      <c r="DM55" s="63"/>
      <c r="DN55" s="63" t="b">
        <v>1</v>
      </c>
      <c r="DO55" s="63" t="b">
        <v>1</v>
      </c>
      <c r="DP55" s="63" t="b">
        <v>1</v>
      </c>
      <c r="DQ55" s="63" t="b">
        <v>0</v>
      </c>
      <c r="DR55" s="63" t="b">
        <v>0</v>
      </c>
      <c r="DS55" s="63"/>
      <c r="DT55" s="63" t="s">
        <v>1687</v>
      </c>
      <c r="DU55" s="63" t="b">
        <v>0</v>
      </c>
      <c r="DV55" s="63"/>
    </row>
    <row r="56" spans="1:126" ht="41.45" customHeight="1">
      <c r="A56" s="62" t="s">
        <v>958</v>
      </c>
      <c r="B56" s="64"/>
      <c r="C56" s="78"/>
      <c r="D56" s="78" t="s">
        <v>64</v>
      </c>
      <c r="E56" s="84">
        <v>172.78541694098675</v>
      </c>
      <c r="F56" s="112">
        <v>99.9605687965739</v>
      </c>
      <c r="G56" s="69" t="str">
        <f>HYPERLINK("https://pbs.twimg.com/profile_images/1333582244817100801/W9vXWh4U_normal.jpg")</f>
        <v>https://pbs.twimg.com/profile_images/1333582244817100801/W9vXWh4U_normal.jpg</v>
      </c>
      <c r="H56" s="113"/>
      <c r="I56" s="70" t="s">
        <v>958</v>
      </c>
      <c r="J56" s="114"/>
      <c r="K56" s="114"/>
      <c r="L56" s="70" t="s">
        <v>1742</v>
      </c>
      <c r="M56" s="115">
        <v>14.141105728472764</v>
      </c>
      <c r="N56" s="91">
        <v>1347.9195556640625</v>
      </c>
      <c r="O56" s="91">
        <v>4325.2109375</v>
      </c>
      <c r="P56" s="92"/>
      <c r="Q56" s="93"/>
      <c r="R56" s="93"/>
      <c r="S56" s="116"/>
      <c r="T56" s="48">
        <v>1</v>
      </c>
      <c r="U56" s="48">
        <v>0</v>
      </c>
      <c r="V56" s="49">
        <v>0</v>
      </c>
      <c r="W56" s="49">
        <v>0.09375</v>
      </c>
      <c r="X56" s="49">
        <v>0.176391</v>
      </c>
      <c r="Y56" s="49">
        <v>0.013445</v>
      </c>
      <c r="Z56" s="49">
        <v>0</v>
      </c>
      <c r="AA56" s="49">
        <v>0</v>
      </c>
      <c r="AB56" s="88">
        <v>56</v>
      </c>
      <c r="AC56" s="135"/>
      <c r="AD56" s="89"/>
      <c r="AE56" s="64" t="s">
        <v>1506</v>
      </c>
      <c r="AF56" s="64">
        <v>3323</v>
      </c>
      <c r="AG56" s="64">
        <v>205753</v>
      </c>
      <c r="AH56" s="64">
        <v>469090</v>
      </c>
      <c r="AI56" s="64"/>
      <c r="AJ56" s="64"/>
      <c r="AK56" s="64" t="s">
        <v>1631</v>
      </c>
      <c r="AL56" s="64"/>
      <c r="AM56" s="64"/>
      <c r="AN56" s="64"/>
      <c r="AO56" s="110">
        <v>43025.67502314815</v>
      </c>
      <c r="AP56" s="111" t="str">
        <f>HYPERLINK("https://pbs.twimg.com/profile_banners/920321515077414912/1628820387")</f>
        <v>https://pbs.twimg.com/profile_banners/920321515077414912/1628820387</v>
      </c>
      <c r="AQ56" s="64" t="b">
        <v>1</v>
      </c>
      <c r="AR56" s="64" t="b">
        <v>0</v>
      </c>
      <c r="AS56" s="64"/>
      <c r="AT56" s="64"/>
      <c r="AU56" s="64">
        <v>1393</v>
      </c>
      <c r="AV56" s="64"/>
      <c r="AW56" s="64" t="b">
        <v>0</v>
      </c>
      <c r="AX56" s="64" t="s">
        <v>1689</v>
      </c>
      <c r="AY56" s="111" t="str">
        <f>HYPERLINK("https://twitter.com/readwise")</f>
        <v>https://twitter.com/readwise</v>
      </c>
      <c r="AZ56" s="104" t="s">
        <v>65</v>
      </c>
      <c r="BA56" s="48"/>
      <c r="BB56" s="48"/>
      <c r="BC56" s="48"/>
      <c r="BD56" s="48"/>
      <c r="BE56" s="48"/>
      <c r="BF56" s="48"/>
      <c r="BG56" s="48"/>
      <c r="BH56" s="48"/>
      <c r="BI56" s="48"/>
      <c r="BJ56" s="48"/>
      <c r="BK56" s="105"/>
      <c r="BL56" s="106"/>
      <c r="BM56" s="105"/>
      <c r="BN56" s="106"/>
      <c r="BO56" s="105"/>
      <c r="BP56" s="106"/>
      <c r="BQ56" s="48"/>
      <c r="BR56" s="49"/>
      <c r="BS56" s="48"/>
      <c r="BT56" s="63" t="str">
        <f>REPLACE(INDEX(GroupVertices[Group],MATCH(Vertices[[#This Row],[Vertex]],GroupVertices[Vertex],0)),1,1,"")</f>
        <v>1</v>
      </c>
      <c r="BU56" s="138" t="s">
        <v>1536</v>
      </c>
      <c r="BV56" s="48"/>
      <c r="BW56" s="49"/>
      <c r="BX56" s="48"/>
      <c r="BY56" s="49"/>
      <c r="BZ56" s="48"/>
      <c r="CA56" s="49"/>
      <c r="CB56" s="107"/>
      <c r="CC56" s="64"/>
      <c r="CD56" s="111" t="str">
        <f>HYPERLINK("https://t.co/nrgToNhKqN")</f>
        <v>https://t.co/nrgToNhKqN</v>
      </c>
      <c r="CE56" s="111" t="str">
        <f>HYPERLINK("https://readwise.io")</f>
        <v>https://readwise.io</v>
      </c>
      <c r="CF56" s="64" t="s">
        <v>1663</v>
      </c>
      <c r="CG56" s="64"/>
      <c r="CH56" s="64"/>
      <c r="CI56" s="64"/>
      <c r="CJ56" s="64"/>
      <c r="CK56" s="64"/>
      <c r="CL56" s="64"/>
      <c r="CM56" s="64">
        <v>1.56543881084611E+18</v>
      </c>
      <c r="CN56" s="111" t="str">
        <f>HYPERLINK("https://t.co/nrgToNhKqN")</f>
        <v>https://t.co/nrgToNhKqN</v>
      </c>
      <c r="CO56" s="64"/>
      <c r="CP56" s="64"/>
      <c r="CQ56" s="64"/>
      <c r="CR56" s="64"/>
      <c r="CS56" s="64"/>
      <c r="CT56" s="64"/>
      <c r="CU56" s="64"/>
      <c r="CV56" s="64"/>
      <c r="CW56" s="64"/>
      <c r="CX56" s="64"/>
      <c r="CY56" s="64"/>
      <c r="CZ56" s="64"/>
      <c r="DA56" s="64"/>
      <c r="DB56" s="64"/>
      <c r="DC56" s="64"/>
      <c r="DD56" s="64"/>
      <c r="DE56" s="64"/>
      <c r="DF56" s="64"/>
      <c r="DG56" s="64"/>
      <c r="DH56" s="64"/>
      <c r="DI56" s="63">
        <v>2631</v>
      </c>
      <c r="DJ56" s="63">
        <v>132</v>
      </c>
      <c r="DK56" s="63" t="b">
        <v>1</v>
      </c>
      <c r="DL56" s="63"/>
      <c r="DM56" s="63"/>
      <c r="DN56" s="63" t="b">
        <v>1</v>
      </c>
      <c r="DO56" s="63" t="b">
        <v>1</v>
      </c>
      <c r="DP56" s="63" t="b">
        <v>1</v>
      </c>
      <c r="DQ56" s="63" t="b">
        <v>0</v>
      </c>
      <c r="DR56" s="63" t="b">
        <v>0</v>
      </c>
      <c r="DS56" s="63"/>
      <c r="DT56" s="63" t="s">
        <v>1687</v>
      </c>
      <c r="DU56" s="63" t="b">
        <v>0</v>
      </c>
      <c r="DV56" s="63"/>
    </row>
    <row r="57" spans="1:126" ht="41.45" customHeight="1">
      <c r="A57" s="62" t="s">
        <v>929</v>
      </c>
      <c r="B57" s="64"/>
      <c r="C57" s="78"/>
      <c r="D57" s="78" t="s">
        <v>64</v>
      </c>
      <c r="E57" s="84">
        <v>165.15611032937488</v>
      </c>
      <c r="F57" s="112">
        <v>99.98846134283785</v>
      </c>
      <c r="G57" s="69" t="str">
        <f>HYPERLINK("https://pbs.twimg.com/profile_images/1540397753586528256/SFkyn7LD_normal.jpg")</f>
        <v>https://pbs.twimg.com/profile_images/1540397753586528256/SFkyn7LD_normal.jpg</v>
      </c>
      <c r="H57" s="113"/>
      <c r="I57" s="70" t="s">
        <v>929</v>
      </c>
      <c r="J57" s="114"/>
      <c r="K57" s="114"/>
      <c r="L57" s="70" t="s">
        <v>1743</v>
      </c>
      <c r="M57" s="115">
        <v>4.845449810236627</v>
      </c>
      <c r="N57" s="91">
        <v>2449.79052734375</v>
      </c>
      <c r="O57" s="91">
        <v>4944.8017578125</v>
      </c>
      <c r="P57" s="92"/>
      <c r="Q57" s="93"/>
      <c r="R57" s="93"/>
      <c r="S57" s="116"/>
      <c r="T57" s="48">
        <v>2</v>
      </c>
      <c r="U57" s="48">
        <v>1</v>
      </c>
      <c r="V57" s="49">
        <v>0</v>
      </c>
      <c r="W57" s="49">
        <v>0.09375</v>
      </c>
      <c r="X57" s="49">
        <v>0.240742</v>
      </c>
      <c r="Y57" s="49">
        <v>0.014535</v>
      </c>
      <c r="Z57" s="49">
        <v>0</v>
      </c>
      <c r="AA57" s="49">
        <v>0</v>
      </c>
      <c r="AB57" s="88">
        <v>57</v>
      </c>
      <c r="AC57" s="135"/>
      <c r="AD57" s="89"/>
      <c r="AE57" s="64" t="s">
        <v>1507</v>
      </c>
      <c r="AF57" s="64">
        <v>300</v>
      </c>
      <c r="AG57" s="64">
        <v>60209</v>
      </c>
      <c r="AH57" s="64">
        <v>2169</v>
      </c>
      <c r="AI57" s="64"/>
      <c r="AJ57" s="64"/>
      <c r="AK57" s="64" t="s">
        <v>1632</v>
      </c>
      <c r="AL57" s="64" t="s">
        <v>1576</v>
      </c>
      <c r="AM57" s="64"/>
      <c r="AN57" s="64"/>
      <c r="AO57" s="110">
        <v>44685.13082175926</v>
      </c>
      <c r="AP57" s="111" t="str">
        <f>HYPERLINK("https://pbs.twimg.com/profile_banners/1521688129559613440/1656093025")</f>
        <v>https://pbs.twimg.com/profile_banners/1521688129559613440/1656093025</v>
      </c>
      <c r="AQ57" s="64" t="b">
        <v>1</v>
      </c>
      <c r="AR57" s="64" t="b">
        <v>0</v>
      </c>
      <c r="AS57" s="64"/>
      <c r="AT57" s="64"/>
      <c r="AU57" s="64">
        <v>513</v>
      </c>
      <c r="AV57" s="64"/>
      <c r="AW57" s="64" t="b">
        <v>0</v>
      </c>
      <c r="AX57" s="64" t="s">
        <v>1689</v>
      </c>
      <c r="AY57" s="111" t="str">
        <f>HYPERLINK("https://twitter.com/hitw93")</f>
        <v>https://twitter.com/hitw93</v>
      </c>
      <c r="AZ57" s="104" t="s">
        <v>66</v>
      </c>
      <c r="BA57" s="48" t="s">
        <v>1954</v>
      </c>
      <c r="BB57" s="48" t="s">
        <v>1957</v>
      </c>
      <c r="BC57" s="48" t="s">
        <v>1960</v>
      </c>
      <c r="BD57" s="48" t="s">
        <v>1960</v>
      </c>
      <c r="BE57" s="48" t="s">
        <v>1967</v>
      </c>
      <c r="BF57" s="48" t="s">
        <v>1972</v>
      </c>
      <c r="BG57" s="83" t="s">
        <v>2004</v>
      </c>
      <c r="BH57" s="83" t="s">
        <v>2015</v>
      </c>
      <c r="BI57" s="83" t="s">
        <v>2049</v>
      </c>
      <c r="BJ57" s="83" t="s">
        <v>2049</v>
      </c>
      <c r="BK57" s="105"/>
      <c r="BL57" s="106"/>
      <c r="BM57" s="105"/>
      <c r="BN57" s="106"/>
      <c r="BO57" s="105"/>
      <c r="BP57" s="106"/>
      <c r="BQ57" s="48">
        <v>40</v>
      </c>
      <c r="BR57" s="49">
        <v>100</v>
      </c>
      <c r="BS57" s="48">
        <v>40</v>
      </c>
      <c r="BT57" s="63" t="str">
        <f>REPLACE(INDEX(GroupVertices[Group],MATCH(Vertices[[#This Row],[Vertex]],GroupVertices[Vertex],0)),1,1,"")</f>
        <v>1</v>
      </c>
      <c r="BU57" s="138" t="s">
        <v>1416</v>
      </c>
      <c r="BV57" s="48">
        <v>0</v>
      </c>
      <c r="BW57" s="49">
        <v>0</v>
      </c>
      <c r="BX57" s="48">
        <v>0</v>
      </c>
      <c r="BY57" s="49">
        <v>0</v>
      </c>
      <c r="BZ57" s="48">
        <v>0</v>
      </c>
      <c r="CA57" s="49">
        <v>0</v>
      </c>
      <c r="CB57" s="107"/>
      <c r="CC57" s="64"/>
      <c r="CD57" s="111" t="str">
        <f>HYPERLINK("https://t.co/rEYcagOwvN")</f>
        <v>https://t.co/rEYcagOwvN</v>
      </c>
      <c r="CE57" s="111" t="str">
        <f>HYPERLINK("http://the.top/tw93")</f>
        <v>http://the.top/tw93</v>
      </c>
      <c r="CF57" s="64" t="s">
        <v>1664</v>
      </c>
      <c r="CG57" s="64"/>
      <c r="CH57" s="64"/>
      <c r="CI57" s="64"/>
      <c r="CJ57" s="64"/>
      <c r="CK57" s="64"/>
      <c r="CL57" s="64"/>
      <c r="CM57" s="64">
        <v>1.69687716419987E+18</v>
      </c>
      <c r="CN57" s="111" t="str">
        <f>HYPERLINK("https://t.co/rEYcagOwvN")</f>
        <v>https://t.co/rEYcagOwvN</v>
      </c>
      <c r="CO57" s="64"/>
      <c r="CP57" s="64"/>
      <c r="CQ57" s="64"/>
      <c r="CR57" s="64"/>
      <c r="CS57" s="64"/>
      <c r="CT57" s="64"/>
      <c r="CU57" s="64"/>
      <c r="CV57" s="64"/>
      <c r="CW57" s="64"/>
      <c r="CX57" s="64"/>
      <c r="CY57" s="64"/>
      <c r="CZ57" s="64"/>
      <c r="DA57" s="64"/>
      <c r="DB57" s="64"/>
      <c r="DC57" s="64"/>
      <c r="DD57" s="64"/>
      <c r="DE57" s="64"/>
      <c r="DF57" s="64"/>
      <c r="DG57" s="64"/>
      <c r="DH57" s="64"/>
      <c r="DI57" s="63">
        <v>894</v>
      </c>
      <c r="DJ57" s="63">
        <v>645</v>
      </c>
      <c r="DK57" s="63" t="b">
        <v>0</v>
      </c>
      <c r="DL57" s="63"/>
      <c r="DM57" s="63"/>
      <c r="DN57" s="63" t="b">
        <v>1</v>
      </c>
      <c r="DO57" s="63" t="b">
        <v>0</v>
      </c>
      <c r="DP57" s="63" t="b">
        <v>1</v>
      </c>
      <c r="DQ57" s="63" t="b">
        <v>0</v>
      </c>
      <c r="DR57" s="63" t="b">
        <v>0</v>
      </c>
      <c r="DS57" s="63"/>
      <c r="DT57" s="63" t="s">
        <v>1687</v>
      </c>
      <c r="DU57" s="63" t="b">
        <v>0</v>
      </c>
      <c r="DV57" s="63"/>
    </row>
    <row r="58" spans="1:126" ht="41.45" customHeight="1">
      <c r="A58" s="62" t="s">
        <v>931</v>
      </c>
      <c r="B58" s="64"/>
      <c r="C58" s="78"/>
      <c r="D58" s="78" t="s">
        <v>64</v>
      </c>
      <c r="E58" s="84">
        <v>174.20251881353605</v>
      </c>
      <c r="F58" s="112">
        <v>99.9553879090368</v>
      </c>
      <c r="G58" s="69" t="str">
        <f>HYPERLINK("https://pbs.twimg.com/profile_images/1451191636810092553/kpM5Fe12_normal.jpg")</f>
        <v>https://pbs.twimg.com/profile_images/1451191636810092553/kpM5Fe12_normal.jpg</v>
      </c>
      <c r="H58" s="113"/>
      <c r="I58" s="70" t="s">
        <v>931</v>
      </c>
      <c r="J58" s="114"/>
      <c r="K58" s="114"/>
      <c r="L58" s="70" t="s">
        <v>1744</v>
      </c>
      <c r="M58" s="115">
        <v>15.867722848337518</v>
      </c>
      <c r="N58" s="91">
        <v>2531.888427734375</v>
      </c>
      <c r="O58" s="91">
        <v>7008.404296875</v>
      </c>
      <c r="P58" s="92"/>
      <c r="Q58" s="93"/>
      <c r="R58" s="93"/>
      <c r="S58" s="116"/>
      <c r="T58" s="48">
        <v>2</v>
      </c>
      <c r="U58" s="48">
        <v>1</v>
      </c>
      <c r="V58" s="49">
        <v>0</v>
      </c>
      <c r="W58" s="49">
        <v>0.09375</v>
      </c>
      <c r="X58" s="49">
        <v>0.240742</v>
      </c>
      <c r="Y58" s="49">
        <v>0.014535</v>
      </c>
      <c r="Z58" s="49">
        <v>0</v>
      </c>
      <c r="AA58" s="49">
        <v>0</v>
      </c>
      <c r="AB58" s="88">
        <v>58</v>
      </c>
      <c r="AC58" s="135"/>
      <c r="AD58" s="89"/>
      <c r="AE58" s="64" t="s">
        <v>1508</v>
      </c>
      <c r="AF58" s="64">
        <v>1866</v>
      </c>
      <c r="AG58" s="64">
        <v>232787</v>
      </c>
      <c r="AH58" s="64">
        <v>21475</v>
      </c>
      <c r="AI58" s="64"/>
      <c r="AJ58" s="64"/>
      <c r="AK58" s="64" t="s">
        <v>1633</v>
      </c>
      <c r="AL58" s="64" t="s">
        <v>1577</v>
      </c>
      <c r="AM58" s="64"/>
      <c r="AN58" s="64"/>
      <c r="AO58" s="110">
        <v>41756.014027777775</v>
      </c>
      <c r="AP58" s="111" t="str">
        <f>HYPERLINK("https://pbs.twimg.com/profile_banners/2465283662/1610997549")</f>
        <v>https://pbs.twimg.com/profile_banners/2465283662/1610997549</v>
      </c>
      <c r="AQ58" s="64" t="b">
        <v>1</v>
      </c>
      <c r="AR58" s="64" t="b">
        <v>0</v>
      </c>
      <c r="AS58" s="64"/>
      <c r="AT58" s="64"/>
      <c r="AU58" s="64">
        <v>3108</v>
      </c>
      <c r="AV58" s="64"/>
      <c r="AW58" s="64" t="b">
        <v>0</v>
      </c>
      <c r="AX58" s="64" t="s">
        <v>1689</v>
      </c>
      <c r="AY58" s="111" t="str">
        <f>HYPERLINK("https://twitter.com/_akhaliq")</f>
        <v>https://twitter.com/_akhaliq</v>
      </c>
      <c r="AZ58" s="104" t="s">
        <v>66</v>
      </c>
      <c r="BA58" s="48" t="s">
        <v>1756</v>
      </c>
      <c r="BB58" s="48" t="s">
        <v>1756</v>
      </c>
      <c r="BC58" s="48" t="s">
        <v>1095</v>
      </c>
      <c r="BD58" s="48" t="s">
        <v>1095</v>
      </c>
      <c r="BE58" s="48"/>
      <c r="BF58" s="48"/>
      <c r="BG58" s="83" t="s">
        <v>2005</v>
      </c>
      <c r="BH58" s="83" t="s">
        <v>2005</v>
      </c>
      <c r="BI58" s="83" t="s">
        <v>2050</v>
      </c>
      <c r="BJ58" s="83" t="s">
        <v>2050</v>
      </c>
      <c r="BK58" s="105"/>
      <c r="BL58" s="106"/>
      <c r="BM58" s="105"/>
      <c r="BN58" s="106"/>
      <c r="BO58" s="105"/>
      <c r="BP58" s="106"/>
      <c r="BQ58" s="48">
        <v>26</v>
      </c>
      <c r="BR58" s="49">
        <v>76.47058823529412</v>
      </c>
      <c r="BS58" s="48">
        <v>34</v>
      </c>
      <c r="BT58" s="63" t="str">
        <f>REPLACE(INDEX(GroupVertices[Group],MATCH(Vertices[[#This Row],[Vertex]],GroupVertices[Vertex],0)),1,1,"")</f>
        <v>1</v>
      </c>
      <c r="BU58" s="138" t="s">
        <v>1417</v>
      </c>
      <c r="BV58" s="48">
        <v>0</v>
      </c>
      <c r="BW58" s="49">
        <v>0</v>
      </c>
      <c r="BX58" s="48">
        <v>0</v>
      </c>
      <c r="BY58" s="49">
        <v>0</v>
      </c>
      <c r="BZ58" s="48">
        <v>0</v>
      </c>
      <c r="CA58" s="49">
        <v>0</v>
      </c>
      <c r="CB58" s="107"/>
      <c r="CC58" s="64"/>
      <c r="CD58" s="111" t="str">
        <f>HYPERLINK("https://t.co/TbGnXZJwEc")</f>
        <v>https://t.co/TbGnXZJwEc</v>
      </c>
      <c r="CE58" s="111" t="str">
        <f>HYPERLINK("https://akhaliq.substack.com/")</f>
        <v>https://akhaliq.substack.com/</v>
      </c>
      <c r="CF58" s="64" t="s">
        <v>1665</v>
      </c>
      <c r="CG58" s="64"/>
      <c r="CH58" s="64"/>
      <c r="CI58" s="64"/>
      <c r="CJ58" s="64"/>
      <c r="CK58" s="64"/>
      <c r="CL58" s="64"/>
      <c r="CM58" s="64"/>
      <c r="CN58" s="111" t="str">
        <f>HYPERLINK("https://t.co/TbGnXZJwEc")</f>
        <v>https://t.co/TbGnXZJwEc</v>
      </c>
      <c r="CO58" s="64"/>
      <c r="CP58" s="64"/>
      <c r="CQ58" s="64"/>
      <c r="CR58" s="64"/>
      <c r="CS58" s="64"/>
      <c r="CT58" s="64"/>
      <c r="CU58" s="64"/>
      <c r="CV58" s="64"/>
      <c r="CW58" s="64"/>
      <c r="CX58" s="64"/>
      <c r="CY58" s="64"/>
      <c r="CZ58" s="64"/>
      <c r="DA58" s="64"/>
      <c r="DB58" s="64"/>
      <c r="DC58" s="64"/>
      <c r="DD58" s="64"/>
      <c r="DE58" s="64"/>
      <c r="DF58" s="64"/>
      <c r="DG58" s="64"/>
      <c r="DH58" s="64"/>
      <c r="DI58" s="63">
        <v>26376</v>
      </c>
      <c r="DJ58" s="63">
        <v>13726</v>
      </c>
      <c r="DK58" s="63" t="b">
        <v>1</v>
      </c>
      <c r="DL58" s="63"/>
      <c r="DM58" s="63"/>
      <c r="DN58" s="63" t="b">
        <v>1</v>
      </c>
      <c r="DO58" s="63" t="b">
        <v>1</v>
      </c>
      <c r="DP58" s="63" t="b">
        <v>1</v>
      </c>
      <c r="DQ58" s="63" t="b">
        <v>0</v>
      </c>
      <c r="DR58" s="63" t="b">
        <v>0</v>
      </c>
      <c r="DS58" s="63"/>
      <c r="DT58" s="63" t="s">
        <v>1687</v>
      </c>
      <c r="DU58" s="63" t="b">
        <v>0</v>
      </c>
      <c r="DV58" s="63"/>
    </row>
    <row r="59" spans="1:126" ht="41.45" customHeight="1">
      <c r="A59" s="62" t="s">
        <v>934</v>
      </c>
      <c r="B59" s="64"/>
      <c r="C59" s="78"/>
      <c r="D59" s="78" t="s">
        <v>64</v>
      </c>
      <c r="E59" s="84">
        <v>163.6033474504574</v>
      </c>
      <c r="F59" s="112">
        <v>99.9941382034809</v>
      </c>
      <c r="G59" s="69" t="str">
        <f>HYPERLINK("https://pbs.twimg.com/profile_images/587268563/twitterProfilePhoto_normal.jpg")</f>
        <v>https://pbs.twimg.com/profile_images/587268563/twitterProfilePhoto_normal.jpg</v>
      </c>
      <c r="H59" s="113"/>
      <c r="I59" s="70" t="s">
        <v>934</v>
      </c>
      <c r="J59" s="114"/>
      <c r="K59" s="114"/>
      <c r="L59" s="70" t="s">
        <v>1745</v>
      </c>
      <c r="M59" s="115">
        <v>2.953541386598477</v>
      </c>
      <c r="N59" s="91">
        <v>1848.9228515625</v>
      </c>
      <c r="O59" s="91">
        <v>7852.10693359375</v>
      </c>
      <c r="P59" s="92"/>
      <c r="Q59" s="93"/>
      <c r="R59" s="93"/>
      <c r="S59" s="116"/>
      <c r="T59" s="48">
        <v>2</v>
      </c>
      <c r="U59" s="48">
        <v>1</v>
      </c>
      <c r="V59" s="49">
        <v>22</v>
      </c>
      <c r="W59" s="49">
        <v>0.102273</v>
      </c>
      <c r="X59" s="49">
        <v>0.189964</v>
      </c>
      <c r="Y59" s="49">
        <v>0.015582</v>
      </c>
      <c r="Z59" s="49">
        <v>0</v>
      </c>
      <c r="AA59" s="49">
        <v>0.5</v>
      </c>
      <c r="AB59" s="88">
        <v>59</v>
      </c>
      <c r="AC59" s="135"/>
      <c r="AD59" s="89"/>
      <c r="AE59" s="64" t="s">
        <v>934</v>
      </c>
      <c r="AF59" s="64">
        <v>350</v>
      </c>
      <c r="AG59" s="64">
        <v>30587</v>
      </c>
      <c r="AH59" s="64">
        <v>2884</v>
      </c>
      <c r="AI59" s="64"/>
      <c r="AJ59" s="64"/>
      <c r="AK59" s="64" t="s">
        <v>1634</v>
      </c>
      <c r="AL59" s="64"/>
      <c r="AM59" s="64"/>
      <c r="AN59" s="64"/>
      <c r="AO59" s="110">
        <v>39946.37092592593</v>
      </c>
      <c r="AP59" s="111" t="str">
        <f>HYPERLINK("https://pbs.twimg.com/profile_banners/39716430/1679141200")</f>
        <v>https://pbs.twimg.com/profile_banners/39716430/1679141200</v>
      </c>
      <c r="AQ59" s="64" t="b">
        <v>1</v>
      </c>
      <c r="AR59" s="64" t="b">
        <v>0</v>
      </c>
      <c r="AS59" s="64"/>
      <c r="AT59" s="64"/>
      <c r="AU59" s="64">
        <v>183</v>
      </c>
      <c r="AV59" s="64"/>
      <c r="AW59" s="64" t="b">
        <v>0</v>
      </c>
      <c r="AX59" s="64" t="s">
        <v>1689</v>
      </c>
      <c r="AY59" s="111" t="str">
        <f>HYPERLINK("https://twitter.com/plantegg")</f>
        <v>https://twitter.com/plantegg</v>
      </c>
      <c r="AZ59" s="104" t="s">
        <v>66</v>
      </c>
      <c r="BA59" s="48" t="s">
        <v>1755</v>
      </c>
      <c r="BB59" s="48" t="s">
        <v>1755</v>
      </c>
      <c r="BC59" s="48" t="s">
        <v>1096</v>
      </c>
      <c r="BD59" s="48" t="s">
        <v>1096</v>
      </c>
      <c r="BE59" s="48"/>
      <c r="BF59" s="48"/>
      <c r="BG59" s="83" t="s">
        <v>2006</v>
      </c>
      <c r="BH59" s="83" t="s">
        <v>2006</v>
      </c>
      <c r="BI59" s="83" t="s">
        <v>2051</v>
      </c>
      <c r="BJ59" s="83" t="s">
        <v>2051</v>
      </c>
      <c r="BK59" s="105"/>
      <c r="BL59" s="106"/>
      <c r="BM59" s="105"/>
      <c r="BN59" s="106"/>
      <c r="BO59" s="105"/>
      <c r="BP59" s="106"/>
      <c r="BQ59" s="48">
        <v>3</v>
      </c>
      <c r="BR59" s="49">
        <v>100</v>
      </c>
      <c r="BS59" s="48">
        <v>3</v>
      </c>
      <c r="BT59" s="63" t="str">
        <f>REPLACE(INDEX(GroupVertices[Group],MATCH(Vertices[[#This Row],[Vertex]],GroupVertices[Vertex],0)),1,1,"")</f>
        <v>1</v>
      </c>
      <c r="BU59" s="138" t="s">
        <v>1418</v>
      </c>
      <c r="BV59" s="48">
        <v>0</v>
      </c>
      <c r="BW59" s="49">
        <v>0</v>
      </c>
      <c r="BX59" s="48">
        <v>0</v>
      </c>
      <c r="BY59" s="49">
        <v>0</v>
      </c>
      <c r="BZ59" s="48">
        <v>0</v>
      </c>
      <c r="CA59" s="49">
        <v>0</v>
      </c>
      <c r="CB59" s="107"/>
      <c r="CC59" s="64"/>
      <c r="CD59" s="111" t="str">
        <f>HYPERLINK("https://t.co/UWhpCZ06ua")</f>
        <v>https://t.co/UWhpCZ06ua</v>
      </c>
      <c r="CE59" s="111" t="str">
        <f>HYPERLINK("https://plantegg.github.io")</f>
        <v>https://plantegg.github.io</v>
      </c>
      <c r="CF59" s="64" t="s">
        <v>1666</v>
      </c>
      <c r="CG59" s="111" t="str">
        <f>HYPERLINK("https://t.co/IxNVHUg5qp")</f>
        <v>https://t.co/IxNVHUg5qp</v>
      </c>
      <c r="CH59" s="111" t="str">
        <f>HYPERLINK("http://t.zsxq.com/0cz93XUPj")</f>
        <v>http://t.zsxq.com/0cz93XUPj</v>
      </c>
      <c r="CI59" s="64" t="s">
        <v>1683</v>
      </c>
      <c r="CJ59" s="64"/>
      <c r="CK59" s="64"/>
      <c r="CL59" s="64"/>
      <c r="CM59" s="64">
        <v>1.65501954090273E+18</v>
      </c>
      <c r="CN59" s="111" t="str">
        <f>HYPERLINK("https://t.co/UWhpCZ06ua")</f>
        <v>https://t.co/UWhpCZ06ua</v>
      </c>
      <c r="CO59" s="64"/>
      <c r="CP59" s="64"/>
      <c r="CQ59" s="64"/>
      <c r="CR59" s="64"/>
      <c r="CS59" s="64"/>
      <c r="CT59" s="64"/>
      <c r="CU59" s="64"/>
      <c r="CV59" s="64"/>
      <c r="CW59" s="64"/>
      <c r="CX59" s="64"/>
      <c r="CY59" s="64"/>
      <c r="CZ59" s="64"/>
      <c r="DA59" s="64"/>
      <c r="DB59" s="64"/>
      <c r="DC59" s="64"/>
      <c r="DD59" s="64"/>
      <c r="DE59" s="64"/>
      <c r="DF59" s="64"/>
      <c r="DG59" s="64"/>
      <c r="DH59" s="64"/>
      <c r="DI59" s="63">
        <v>880</v>
      </c>
      <c r="DJ59" s="63">
        <v>586</v>
      </c>
      <c r="DK59" s="63" t="b">
        <v>0</v>
      </c>
      <c r="DL59" s="63"/>
      <c r="DM59" s="63"/>
      <c r="DN59" s="63" t="b">
        <v>1</v>
      </c>
      <c r="DO59" s="63" t="b">
        <v>0</v>
      </c>
      <c r="DP59" s="63" t="b">
        <v>1</v>
      </c>
      <c r="DQ59" s="63" t="b">
        <v>0</v>
      </c>
      <c r="DR59" s="63" t="b">
        <v>0</v>
      </c>
      <c r="DS59" s="63"/>
      <c r="DT59" s="63" t="s">
        <v>1687</v>
      </c>
      <c r="DU59" s="63" t="b">
        <v>0</v>
      </c>
      <c r="DV59" s="63"/>
    </row>
    <row r="60" spans="1:126" ht="41.45" customHeight="1">
      <c r="A60" s="62" t="s">
        <v>932</v>
      </c>
      <c r="B60" s="64"/>
      <c r="C60" s="78"/>
      <c r="D60" s="78" t="s">
        <v>64</v>
      </c>
      <c r="E60" s="84">
        <v>162.0224878561561</v>
      </c>
      <c r="F60" s="112">
        <v>99.9999177849836</v>
      </c>
      <c r="G60" s="69" t="str">
        <f>HYPERLINK("https://pbs.twimg.com/profile_images/1695723026023632896/U0_yzxng_normal.jpg")</f>
        <v>https://pbs.twimg.com/profile_images/1695723026023632896/U0_yzxng_normal.jpg</v>
      </c>
      <c r="H60" s="113"/>
      <c r="I60" s="70" t="s">
        <v>932</v>
      </c>
      <c r="J60" s="114"/>
      <c r="K60" s="114"/>
      <c r="L60" s="70" t="s">
        <v>1746</v>
      </c>
      <c r="M60" s="115">
        <v>1.027399524466301</v>
      </c>
      <c r="N60" s="91">
        <v>3552.699462890625</v>
      </c>
      <c r="O60" s="91">
        <v>8539.0283203125</v>
      </c>
      <c r="P60" s="92"/>
      <c r="Q60" s="93"/>
      <c r="R60" s="93"/>
      <c r="S60" s="116"/>
      <c r="T60" s="48">
        <v>2</v>
      </c>
      <c r="U60" s="48">
        <v>1</v>
      </c>
      <c r="V60" s="49">
        <v>0</v>
      </c>
      <c r="W60" s="49">
        <v>0.035156</v>
      </c>
      <c r="X60" s="49">
        <v>0</v>
      </c>
      <c r="Y60" s="49">
        <v>0.014982</v>
      </c>
      <c r="Z60" s="49">
        <v>0</v>
      </c>
      <c r="AA60" s="49">
        <v>0</v>
      </c>
      <c r="AB60" s="88">
        <v>60</v>
      </c>
      <c r="AC60" s="135"/>
      <c r="AD60" s="89"/>
      <c r="AE60" s="64" t="s">
        <v>1509</v>
      </c>
      <c r="AF60" s="64">
        <v>287</v>
      </c>
      <c r="AG60" s="64">
        <v>429</v>
      </c>
      <c r="AH60" s="64">
        <v>7952</v>
      </c>
      <c r="AI60" s="64"/>
      <c r="AJ60" s="64"/>
      <c r="AK60" s="64" t="s">
        <v>1635</v>
      </c>
      <c r="AL60" s="64" t="s">
        <v>1578</v>
      </c>
      <c r="AM60" s="64"/>
      <c r="AN60" s="64"/>
      <c r="AO60" s="110">
        <v>44860.49658564815</v>
      </c>
      <c r="AP60" s="111" t="str">
        <f>HYPERLINK("https://pbs.twimg.com/profile_banners/1585238546742493184/1666866398")</f>
        <v>https://pbs.twimg.com/profile_banners/1585238546742493184/1666866398</v>
      </c>
      <c r="AQ60" s="64" t="b">
        <v>1</v>
      </c>
      <c r="AR60" s="64" t="b">
        <v>0</v>
      </c>
      <c r="AS60" s="64"/>
      <c r="AT60" s="64"/>
      <c r="AU60" s="64">
        <v>2</v>
      </c>
      <c r="AV60" s="64"/>
      <c r="AW60" s="64" t="b">
        <v>0</v>
      </c>
      <c r="AX60" s="64" t="s">
        <v>1689</v>
      </c>
      <c r="AY60" s="111" t="str">
        <f>HYPERLINK("https://twitter.com/instigator_h")</f>
        <v>https://twitter.com/instigator_h</v>
      </c>
      <c r="AZ60" s="104" t="s">
        <v>66</v>
      </c>
      <c r="BA60" s="48"/>
      <c r="BB60" s="48"/>
      <c r="BC60" s="48"/>
      <c r="BD60" s="48"/>
      <c r="BE60" s="48"/>
      <c r="BF60" s="48"/>
      <c r="BG60" s="83" t="s">
        <v>2007</v>
      </c>
      <c r="BH60" s="83" t="s">
        <v>2007</v>
      </c>
      <c r="BI60" s="83" t="s">
        <v>2052</v>
      </c>
      <c r="BJ60" s="83" t="s">
        <v>2052</v>
      </c>
      <c r="BK60" s="105"/>
      <c r="BL60" s="106"/>
      <c r="BM60" s="105"/>
      <c r="BN60" s="106"/>
      <c r="BO60" s="105"/>
      <c r="BP60" s="106"/>
      <c r="BQ60" s="48">
        <v>3</v>
      </c>
      <c r="BR60" s="49">
        <v>42.857142857142854</v>
      </c>
      <c r="BS60" s="48">
        <v>7</v>
      </c>
      <c r="BT60" s="63" t="str">
        <f>REPLACE(INDEX(GroupVertices[Group],MATCH(Vertices[[#This Row],[Vertex]],GroupVertices[Vertex],0)),1,1,"")</f>
        <v>3</v>
      </c>
      <c r="BU60" s="138" t="s">
        <v>1439</v>
      </c>
      <c r="BV60" s="48">
        <v>0</v>
      </c>
      <c r="BW60" s="49">
        <v>0</v>
      </c>
      <c r="BX60" s="48">
        <v>0</v>
      </c>
      <c r="BY60" s="49">
        <v>0</v>
      </c>
      <c r="BZ60" s="48">
        <v>0</v>
      </c>
      <c r="CA60" s="49">
        <v>0</v>
      </c>
      <c r="CB60" s="107"/>
      <c r="CC60" s="64"/>
      <c r="CD60" s="111" t="str">
        <f>HYPERLINK("https://t.co/ZtuexMZviT")</f>
        <v>https://t.co/ZtuexMZviT</v>
      </c>
      <c r="CE60" s="111" t="str">
        <f>HYPERLINK("http://www.Instagram.com/big_heph")</f>
        <v>http://www.Instagram.com/big_heph</v>
      </c>
      <c r="CF60" s="64" t="s">
        <v>1667</v>
      </c>
      <c r="CG60" s="64"/>
      <c r="CH60" s="64"/>
      <c r="CI60" s="64"/>
      <c r="CJ60" s="64"/>
      <c r="CK60" s="64"/>
      <c r="CL60" s="64"/>
      <c r="CM60" s="64">
        <v>1.69696342162169E+18</v>
      </c>
      <c r="CN60" s="111" t="str">
        <f>HYPERLINK("https://t.co/ZtuexMZviT")</f>
        <v>https://t.co/ZtuexMZviT</v>
      </c>
      <c r="CO60" s="64"/>
      <c r="CP60" s="64"/>
      <c r="CQ60" s="64"/>
      <c r="CR60" s="64"/>
      <c r="CS60" s="64"/>
      <c r="CT60" s="64"/>
      <c r="CU60" s="64"/>
      <c r="CV60" s="64"/>
      <c r="CW60" s="64"/>
      <c r="CX60" s="64"/>
      <c r="CY60" s="64"/>
      <c r="CZ60" s="64"/>
      <c r="DA60" s="64"/>
      <c r="DB60" s="64"/>
      <c r="DC60" s="64"/>
      <c r="DD60" s="64"/>
      <c r="DE60" s="64"/>
      <c r="DF60" s="64"/>
      <c r="DG60" s="64"/>
      <c r="DH60" s="64"/>
      <c r="DI60" s="63">
        <v>12820</v>
      </c>
      <c r="DJ60" s="63">
        <v>125</v>
      </c>
      <c r="DK60" s="63" t="b">
        <v>0</v>
      </c>
      <c r="DL60" s="63"/>
      <c r="DM60" s="63"/>
      <c r="DN60" s="63" t="b">
        <v>0</v>
      </c>
      <c r="DO60" s="63" t="b">
        <v>1</v>
      </c>
      <c r="DP60" s="63" t="b">
        <v>0</v>
      </c>
      <c r="DQ60" s="63" t="b">
        <v>0</v>
      </c>
      <c r="DR60" s="63" t="b">
        <v>0</v>
      </c>
      <c r="DS60" s="63"/>
      <c r="DT60" s="63" t="s">
        <v>1687</v>
      </c>
      <c r="DU60" s="63" t="b">
        <v>0</v>
      </c>
      <c r="DV60" s="63"/>
    </row>
    <row r="61" spans="1:126" ht="41.45" customHeight="1">
      <c r="A61" s="62" t="s">
        <v>935</v>
      </c>
      <c r="B61" s="64"/>
      <c r="C61" s="78"/>
      <c r="D61" s="78" t="s">
        <v>64</v>
      </c>
      <c r="E61" s="84">
        <v>162.00319757395226</v>
      </c>
      <c r="F61" s="112">
        <v>99.99998830975291</v>
      </c>
      <c r="G61" s="69" t="str">
        <f>HYPERLINK("https://pbs.twimg.com/profile_images/925687120244723712/gT7H83cM_normal.jpg")</f>
        <v>https://pbs.twimg.com/profile_images/925687120244723712/gT7H83cM_normal.jpg</v>
      </c>
      <c r="H61" s="113"/>
      <c r="I61" s="70" t="s">
        <v>935</v>
      </c>
      <c r="J61" s="114"/>
      <c r="K61" s="114"/>
      <c r="L61" s="70" t="s">
        <v>1747</v>
      </c>
      <c r="M61" s="115">
        <v>1.0038959696793575</v>
      </c>
      <c r="N61" s="91">
        <v>1892.5345458984375</v>
      </c>
      <c r="O61" s="91">
        <v>9478.21875</v>
      </c>
      <c r="P61" s="92"/>
      <c r="Q61" s="93"/>
      <c r="R61" s="93"/>
      <c r="S61" s="116"/>
      <c r="T61" s="48">
        <v>1</v>
      </c>
      <c r="U61" s="48">
        <v>1</v>
      </c>
      <c r="V61" s="49">
        <v>0</v>
      </c>
      <c r="W61" s="49">
        <v>0.068182</v>
      </c>
      <c r="X61" s="49">
        <v>0.050778</v>
      </c>
      <c r="Y61" s="49">
        <v>0.014246</v>
      </c>
      <c r="Z61" s="49">
        <v>0</v>
      </c>
      <c r="AA61" s="49">
        <v>1</v>
      </c>
      <c r="AB61" s="88">
        <v>61</v>
      </c>
      <c r="AC61" s="135"/>
      <c r="AD61" s="89"/>
      <c r="AE61" s="64" t="s">
        <v>1510</v>
      </c>
      <c r="AF61" s="64">
        <v>574</v>
      </c>
      <c r="AG61" s="64">
        <v>61</v>
      </c>
      <c r="AH61" s="64">
        <v>4515</v>
      </c>
      <c r="AI61" s="64"/>
      <c r="AJ61" s="64"/>
      <c r="AK61" s="64"/>
      <c r="AL61" s="64"/>
      <c r="AM61" s="64"/>
      <c r="AN61" s="64"/>
      <c r="AO61" s="110">
        <v>40529.285405092596</v>
      </c>
      <c r="AP61" s="64"/>
      <c r="AQ61" s="64" t="b">
        <v>1</v>
      </c>
      <c r="AR61" s="64" t="b">
        <v>0</v>
      </c>
      <c r="AS61" s="64"/>
      <c r="AT61" s="64"/>
      <c r="AU61" s="64">
        <v>14</v>
      </c>
      <c r="AV61" s="64"/>
      <c r="AW61" s="64" t="b">
        <v>0</v>
      </c>
      <c r="AX61" s="64" t="s">
        <v>1689</v>
      </c>
      <c r="AY61" s="111" t="str">
        <f>HYPERLINK("https://twitter.com/csyangchsh")</f>
        <v>https://twitter.com/csyangchsh</v>
      </c>
      <c r="AZ61" s="104" t="s">
        <v>66</v>
      </c>
      <c r="BA61" s="48"/>
      <c r="BB61" s="48"/>
      <c r="BC61" s="48"/>
      <c r="BD61" s="48"/>
      <c r="BE61" s="48"/>
      <c r="BF61" s="48"/>
      <c r="BG61" s="83" t="s">
        <v>2008</v>
      </c>
      <c r="BH61" s="83" t="s">
        <v>2008</v>
      </c>
      <c r="BI61" s="83" t="s">
        <v>2053</v>
      </c>
      <c r="BJ61" s="83" t="s">
        <v>2053</v>
      </c>
      <c r="BK61" s="105"/>
      <c r="BL61" s="106"/>
      <c r="BM61" s="105"/>
      <c r="BN61" s="106"/>
      <c r="BO61" s="105"/>
      <c r="BP61" s="106"/>
      <c r="BQ61" s="48">
        <v>5</v>
      </c>
      <c r="BR61" s="49">
        <v>100</v>
      </c>
      <c r="BS61" s="48">
        <v>5</v>
      </c>
      <c r="BT61" s="63" t="str">
        <f>REPLACE(INDEX(GroupVertices[Group],MATCH(Vertices[[#This Row],[Vertex]],GroupVertices[Vertex],0)),1,1,"")</f>
        <v>1</v>
      </c>
      <c r="BU61" s="138" t="s">
        <v>1537</v>
      </c>
      <c r="BV61" s="48">
        <v>0</v>
      </c>
      <c r="BW61" s="49">
        <v>0</v>
      </c>
      <c r="BX61" s="48">
        <v>0</v>
      </c>
      <c r="BY61" s="49">
        <v>0</v>
      </c>
      <c r="BZ61" s="48">
        <v>0</v>
      </c>
      <c r="CA61" s="49">
        <v>0</v>
      </c>
      <c r="CB61" s="107"/>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3">
        <v>2413</v>
      </c>
      <c r="DJ61" s="63">
        <v>3</v>
      </c>
      <c r="DK61" s="63" t="b">
        <v>0</v>
      </c>
      <c r="DL61" s="63"/>
      <c r="DM61" s="63"/>
      <c r="DN61" s="63" t="b">
        <v>0</v>
      </c>
      <c r="DO61" s="63" t="b">
        <v>1</v>
      </c>
      <c r="DP61" s="63" t="b">
        <v>0</v>
      </c>
      <c r="DQ61" s="63" t="b">
        <v>0</v>
      </c>
      <c r="DR61" s="63" t="b">
        <v>0</v>
      </c>
      <c r="DS61" s="63"/>
      <c r="DT61" s="63" t="s">
        <v>1687</v>
      </c>
      <c r="DU61" s="63" t="b">
        <v>0</v>
      </c>
      <c r="DV61" s="63"/>
    </row>
    <row r="62" spans="1:126" ht="41.45" customHeight="1">
      <c r="A62" s="62" t="s">
        <v>936</v>
      </c>
      <c r="B62" s="64"/>
      <c r="C62" s="78"/>
      <c r="D62" s="78" t="s">
        <v>64</v>
      </c>
      <c r="E62" s="84">
        <v>162.0010483849024</v>
      </c>
      <c r="F62" s="112">
        <v>99.9999961671321</v>
      </c>
      <c r="G62" s="69" t="str">
        <f>HYPERLINK("https://pbs.twimg.com/profile_images/1698702382836641792/tdhTCKDs_normal.jpg")</f>
        <v>https://pbs.twimg.com/profile_images/1698702382836641792/tdhTCKDs_normal.jpg</v>
      </c>
      <c r="H62" s="113"/>
      <c r="I62" s="70" t="s">
        <v>936</v>
      </c>
      <c r="J62" s="114"/>
      <c r="K62" s="114"/>
      <c r="L62" s="70" t="s">
        <v>1748</v>
      </c>
      <c r="M62" s="115">
        <v>1.001277367107986</v>
      </c>
      <c r="N62" s="91">
        <v>6398.07373046875</v>
      </c>
      <c r="O62" s="91">
        <v>3992.65625</v>
      </c>
      <c r="P62" s="92"/>
      <c r="Q62" s="93"/>
      <c r="R62" s="93"/>
      <c r="S62" s="116"/>
      <c r="T62" s="48">
        <v>0</v>
      </c>
      <c r="U62" s="48">
        <v>1</v>
      </c>
      <c r="V62" s="49">
        <v>0</v>
      </c>
      <c r="W62" s="49">
        <v>0.020833</v>
      </c>
      <c r="X62" s="49">
        <v>0</v>
      </c>
      <c r="Y62" s="49">
        <v>0.014381</v>
      </c>
      <c r="Z62" s="49">
        <v>0</v>
      </c>
      <c r="AA62" s="49">
        <v>0</v>
      </c>
      <c r="AB62" s="88">
        <v>62</v>
      </c>
      <c r="AC62" s="135"/>
      <c r="AD62" s="89"/>
      <c r="AE62" s="64" t="s">
        <v>1511</v>
      </c>
      <c r="AF62" s="64">
        <v>110</v>
      </c>
      <c r="AG62" s="64">
        <v>20</v>
      </c>
      <c r="AH62" s="64">
        <v>19</v>
      </c>
      <c r="AI62" s="64"/>
      <c r="AJ62" s="64"/>
      <c r="AK62" s="64" t="s">
        <v>1636</v>
      </c>
      <c r="AL62" s="64"/>
      <c r="AM62" s="64"/>
      <c r="AN62" s="64"/>
      <c r="AO62" s="110">
        <v>43328.70978009259</v>
      </c>
      <c r="AP62" s="111" t="str">
        <f>HYPERLINK("https://pbs.twimg.com/profile_banners/1030137633987547136/1641305601")</f>
        <v>https://pbs.twimg.com/profile_banners/1030137633987547136/1641305601</v>
      </c>
      <c r="AQ62" s="64" t="b">
        <v>1</v>
      </c>
      <c r="AR62" s="64" t="b">
        <v>0</v>
      </c>
      <c r="AS62" s="64"/>
      <c r="AT62" s="64"/>
      <c r="AU62" s="64">
        <v>0</v>
      </c>
      <c r="AV62" s="64"/>
      <c r="AW62" s="64" t="b">
        <v>0</v>
      </c>
      <c r="AX62" s="64" t="s">
        <v>1689</v>
      </c>
      <c r="AY62" s="111" t="str">
        <f>HYPERLINK("https://twitter.com/jeremyl51357386")</f>
        <v>https://twitter.com/jeremyl51357386</v>
      </c>
      <c r="AZ62" s="104" t="s">
        <v>66</v>
      </c>
      <c r="BA62" s="48"/>
      <c r="BB62" s="48"/>
      <c r="BC62" s="48"/>
      <c r="BD62" s="48"/>
      <c r="BE62" s="48"/>
      <c r="BF62" s="48"/>
      <c r="BG62" s="83" t="s">
        <v>2009</v>
      </c>
      <c r="BH62" s="83" t="s">
        <v>2009</v>
      </c>
      <c r="BI62" s="83" t="s">
        <v>1924</v>
      </c>
      <c r="BJ62" s="83" t="s">
        <v>1924</v>
      </c>
      <c r="BK62" s="105"/>
      <c r="BL62" s="106"/>
      <c r="BM62" s="105"/>
      <c r="BN62" s="106"/>
      <c r="BO62" s="105"/>
      <c r="BP62" s="106"/>
      <c r="BQ62" s="48">
        <v>12</v>
      </c>
      <c r="BR62" s="49">
        <v>63.1578947368421</v>
      </c>
      <c r="BS62" s="48">
        <v>19</v>
      </c>
      <c r="BT62" s="63" t="str">
        <f>REPLACE(INDEX(GroupVertices[Group],MATCH(Vertices[[#This Row],[Vertex]],GroupVertices[Vertex],0)),1,1,"")</f>
        <v>8</v>
      </c>
      <c r="BU62" s="138" t="s">
        <v>1441</v>
      </c>
      <c r="BV62" s="48">
        <v>0</v>
      </c>
      <c r="BW62" s="49">
        <v>0</v>
      </c>
      <c r="BX62" s="48">
        <v>0</v>
      </c>
      <c r="BY62" s="49">
        <v>0</v>
      </c>
      <c r="BZ62" s="48">
        <v>0</v>
      </c>
      <c r="CA62" s="49">
        <v>0</v>
      </c>
      <c r="CB62" s="107"/>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3">
        <v>292</v>
      </c>
      <c r="DJ62" s="63">
        <v>0</v>
      </c>
      <c r="DK62" s="63" t="b">
        <v>0</v>
      </c>
      <c r="DL62" s="63"/>
      <c r="DM62" s="63"/>
      <c r="DN62" s="63" t="b">
        <v>0</v>
      </c>
      <c r="DO62" s="63" t="b">
        <v>1</v>
      </c>
      <c r="DP62" s="63" t="b">
        <v>1</v>
      </c>
      <c r="DQ62" s="63" t="b">
        <v>0</v>
      </c>
      <c r="DR62" s="63" t="b">
        <v>0</v>
      </c>
      <c r="DS62" s="63"/>
      <c r="DT62" s="63" t="s">
        <v>1687</v>
      </c>
      <c r="DU62" s="63" t="b">
        <v>0</v>
      </c>
      <c r="DV62" s="63"/>
    </row>
    <row r="63" spans="1:126" ht="41.45" customHeight="1">
      <c r="A63" s="62" t="s">
        <v>959</v>
      </c>
      <c r="B63" s="64"/>
      <c r="C63" s="78"/>
      <c r="D63" s="78" t="s">
        <v>64</v>
      </c>
      <c r="E63" s="84">
        <v>1000</v>
      </c>
      <c r="F63" s="112">
        <v>70</v>
      </c>
      <c r="G63" s="69" t="str">
        <f>HYPERLINK("https://pbs.twimg.com/profile_images/1683325380441128960/yRsRRjGO_normal.jpg")</f>
        <v>https://pbs.twimg.com/profile_images/1683325380441128960/yRsRRjGO_normal.jpg</v>
      </c>
      <c r="H63" s="113"/>
      <c r="I63" s="70" t="s">
        <v>959</v>
      </c>
      <c r="J63" s="114"/>
      <c r="K63" s="114"/>
      <c r="L63" s="70" t="s">
        <v>1749</v>
      </c>
      <c r="M63" s="115">
        <v>9999</v>
      </c>
      <c r="N63" s="91">
        <v>1493.73095703125</v>
      </c>
      <c r="O63" s="91">
        <v>520.9550170898438</v>
      </c>
      <c r="P63" s="92"/>
      <c r="Q63" s="93"/>
      <c r="R63" s="93"/>
      <c r="S63" s="116"/>
      <c r="T63" s="48">
        <v>1</v>
      </c>
      <c r="U63" s="48">
        <v>0</v>
      </c>
      <c r="V63" s="49">
        <v>0</v>
      </c>
      <c r="W63" s="49">
        <v>0.080357</v>
      </c>
      <c r="X63" s="49">
        <v>6.5E-05</v>
      </c>
      <c r="Y63" s="49">
        <v>0.013549</v>
      </c>
      <c r="Z63" s="49">
        <v>0</v>
      </c>
      <c r="AA63" s="49">
        <v>0</v>
      </c>
      <c r="AB63" s="88">
        <v>63</v>
      </c>
      <c r="AC63" s="135"/>
      <c r="AD63" s="89"/>
      <c r="AE63" s="64" t="s">
        <v>1512</v>
      </c>
      <c r="AF63" s="64">
        <v>425</v>
      </c>
      <c r="AG63" s="64">
        <v>156540746</v>
      </c>
      <c r="AH63" s="64">
        <v>30658</v>
      </c>
      <c r="AI63" s="64"/>
      <c r="AJ63" s="64"/>
      <c r="AK63" s="64"/>
      <c r="AL63" s="64" t="s">
        <v>1579</v>
      </c>
      <c r="AM63" s="64"/>
      <c r="AN63" s="64"/>
      <c r="AO63" s="110">
        <v>39966.842002314814</v>
      </c>
      <c r="AP63" s="111" t="str">
        <f>HYPERLINK("https://pbs.twimg.com/profile_banners/44196397/1690621312")</f>
        <v>https://pbs.twimg.com/profile_banners/44196397/1690621312</v>
      </c>
      <c r="AQ63" s="64" t="b">
        <v>0</v>
      </c>
      <c r="AR63" s="64" t="b">
        <v>0</v>
      </c>
      <c r="AS63" s="64"/>
      <c r="AT63" s="64"/>
      <c r="AU63" s="64">
        <v>127186</v>
      </c>
      <c r="AV63" s="64"/>
      <c r="AW63" s="64" t="b">
        <v>0</v>
      </c>
      <c r="AX63" s="64" t="s">
        <v>1689</v>
      </c>
      <c r="AY63" s="111" t="str">
        <f>HYPERLINK("https://twitter.com/elonmusk")</f>
        <v>https://twitter.com/elonmusk</v>
      </c>
      <c r="AZ63" s="104" t="s">
        <v>65</v>
      </c>
      <c r="BA63" s="48"/>
      <c r="BB63" s="48"/>
      <c r="BC63" s="48"/>
      <c r="BD63" s="48"/>
      <c r="BE63" s="48"/>
      <c r="BF63" s="48"/>
      <c r="BG63" s="48"/>
      <c r="BH63" s="48"/>
      <c r="BI63" s="48"/>
      <c r="BJ63" s="48"/>
      <c r="BK63" s="105"/>
      <c r="BL63" s="106"/>
      <c r="BM63" s="105"/>
      <c r="BN63" s="106"/>
      <c r="BO63" s="105"/>
      <c r="BP63" s="106"/>
      <c r="BQ63" s="48"/>
      <c r="BR63" s="49"/>
      <c r="BS63" s="48"/>
      <c r="BT63" s="63" t="str">
        <f>REPLACE(INDEX(GroupVertices[Group],MATCH(Vertices[[#This Row],[Vertex]],GroupVertices[Vertex],0)),1,1,"")</f>
        <v>2</v>
      </c>
      <c r="BU63" s="138" t="s">
        <v>1538</v>
      </c>
      <c r="BV63" s="48"/>
      <c r="BW63" s="49"/>
      <c r="BX63" s="48"/>
      <c r="BY63" s="49"/>
      <c r="BZ63" s="48"/>
      <c r="CA63" s="49"/>
      <c r="CB63" s="107"/>
      <c r="CC63" s="64"/>
      <c r="CD63" s="64"/>
      <c r="CE63" s="64"/>
      <c r="CF63" s="64"/>
      <c r="CG63" s="64"/>
      <c r="CH63" s="64"/>
      <c r="CI63" s="64"/>
      <c r="CJ63" s="64"/>
      <c r="CK63" s="64"/>
      <c r="CL63" s="64"/>
      <c r="CM63" s="64">
        <v>1.7010035501582E+18</v>
      </c>
      <c r="CN63" s="64"/>
      <c r="CO63" s="64"/>
      <c r="CP63" s="64"/>
      <c r="CQ63" s="64"/>
      <c r="CR63" s="64"/>
      <c r="CS63" s="64"/>
      <c r="CT63" s="64"/>
      <c r="CU63" s="64"/>
      <c r="CV63" s="64"/>
      <c r="CW63" s="64"/>
      <c r="CX63" s="64"/>
      <c r="CY63" s="64"/>
      <c r="CZ63" s="64"/>
      <c r="DA63" s="64"/>
      <c r="DB63" s="64"/>
      <c r="DC63" s="64"/>
      <c r="DD63" s="64"/>
      <c r="DE63" s="64"/>
      <c r="DF63" s="64"/>
      <c r="DG63" s="64"/>
      <c r="DH63" s="64"/>
      <c r="DI63" s="63">
        <v>32253</v>
      </c>
      <c r="DJ63" s="63">
        <v>1691</v>
      </c>
      <c r="DK63" s="63" t="b">
        <v>1</v>
      </c>
      <c r="DL63" s="63"/>
      <c r="DM63" s="63"/>
      <c r="DN63" s="63" t="b">
        <v>0</v>
      </c>
      <c r="DO63" s="63" t="b">
        <v>0</v>
      </c>
      <c r="DP63" s="63" t="b">
        <v>1</v>
      </c>
      <c r="DQ63" s="63" t="b">
        <v>0</v>
      </c>
      <c r="DR63" s="63" t="b">
        <v>0</v>
      </c>
      <c r="DS63" s="63"/>
      <c r="DT63" s="63" t="s">
        <v>1687</v>
      </c>
      <c r="DU63" s="63" t="b">
        <v>0</v>
      </c>
      <c r="DV63" s="63"/>
    </row>
    <row r="64" spans="1:126" ht="41.45" customHeight="1">
      <c r="A64" s="62" t="s">
        <v>960</v>
      </c>
      <c r="B64" s="64"/>
      <c r="C64" s="78"/>
      <c r="D64" s="78" t="s">
        <v>64</v>
      </c>
      <c r="E64" s="84">
        <v>174.84308198889124</v>
      </c>
      <c r="F64" s="112">
        <v>99.9530460267514</v>
      </c>
      <c r="G64" s="69" t="str">
        <f>HYPERLINK("https://pbs.twimg.com/profile_images/1646909696782000129/zpvatFoy_normal.jpg")</f>
        <v>https://pbs.twimg.com/profile_images/1646909696782000129/zpvatFoy_normal.jpg</v>
      </c>
      <c r="H64" s="113"/>
      <c r="I64" s="70" t="s">
        <v>960</v>
      </c>
      <c r="J64" s="114"/>
      <c r="K64" s="114"/>
      <c r="L64" s="70" t="s">
        <v>1750</v>
      </c>
      <c r="M64" s="115">
        <v>16.648194151317</v>
      </c>
      <c r="N64" s="91">
        <v>1739.1690673828125</v>
      </c>
      <c r="O64" s="91">
        <v>3610.75</v>
      </c>
      <c r="P64" s="92"/>
      <c r="Q64" s="93"/>
      <c r="R64" s="93"/>
      <c r="S64" s="116"/>
      <c r="T64" s="48">
        <v>1</v>
      </c>
      <c r="U64" s="48">
        <v>0</v>
      </c>
      <c r="V64" s="49">
        <v>0</v>
      </c>
      <c r="W64" s="49">
        <v>0.080357</v>
      </c>
      <c r="X64" s="49">
        <v>6.5E-05</v>
      </c>
      <c r="Y64" s="49">
        <v>0.013549</v>
      </c>
      <c r="Z64" s="49">
        <v>0</v>
      </c>
      <c r="AA64" s="49">
        <v>0</v>
      </c>
      <c r="AB64" s="88">
        <v>64</v>
      </c>
      <c r="AC64" s="135"/>
      <c r="AD64" s="89"/>
      <c r="AE64" s="64" t="s">
        <v>1513</v>
      </c>
      <c r="AF64" s="64">
        <v>3509</v>
      </c>
      <c r="AG64" s="64">
        <v>245007</v>
      </c>
      <c r="AH64" s="64">
        <v>53254</v>
      </c>
      <c r="AI64" s="64"/>
      <c r="AJ64" s="64"/>
      <c r="AK64" s="64" t="s">
        <v>1637</v>
      </c>
      <c r="AL64" s="64" t="s">
        <v>1580</v>
      </c>
      <c r="AM64" s="64"/>
      <c r="AN64" s="64"/>
      <c r="AO64" s="110">
        <v>39689.75697916667</v>
      </c>
      <c r="AP64" s="111" t="str">
        <f>HYPERLINK("https://pbs.twimg.com/profile_banners/16045268/1681046448")</f>
        <v>https://pbs.twimg.com/profile_banners/16045268/1681046448</v>
      </c>
      <c r="AQ64" s="64" t="b">
        <v>0</v>
      </c>
      <c r="AR64" s="64" t="b">
        <v>0</v>
      </c>
      <c r="AS64" s="64"/>
      <c r="AT64" s="64"/>
      <c r="AU64" s="64">
        <v>5790</v>
      </c>
      <c r="AV64" s="64"/>
      <c r="AW64" s="64" t="b">
        <v>0</v>
      </c>
      <c r="AX64" s="64" t="s">
        <v>1689</v>
      </c>
      <c r="AY64" s="111" t="str">
        <f>HYPERLINK("https://twitter.com/insidehighered")</f>
        <v>https://twitter.com/insidehighered</v>
      </c>
      <c r="AZ64" s="104" t="s">
        <v>65</v>
      </c>
      <c r="BA64" s="48"/>
      <c r="BB64" s="48"/>
      <c r="BC64" s="48"/>
      <c r="BD64" s="48"/>
      <c r="BE64" s="48"/>
      <c r="BF64" s="48"/>
      <c r="BG64" s="48"/>
      <c r="BH64" s="48"/>
      <c r="BI64" s="48"/>
      <c r="BJ64" s="48"/>
      <c r="BK64" s="105"/>
      <c r="BL64" s="106"/>
      <c r="BM64" s="105"/>
      <c r="BN64" s="106"/>
      <c r="BO64" s="105"/>
      <c r="BP64" s="106"/>
      <c r="BQ64" s="48"/>
      <c r="BR64" s="49"/>
      <c r="BS64" s="48"/>
      <c r="BT64" s="63" t="str">
        <f>REPLACE(INDEX(GroupVertices[Group],MATCH(Vertices[[#This Row],[Vertex]],GroupVertices[Vertex],0)),1,1,"")</f>
        <v>2</v>
      </c>
      <c r="BU64" s="138" t="s">
        <v>1539</v>
      </c>
      <c r="BV64" s="48"/>
      <c r="BW64" s="49"/>
      <c r="BX64" s="48"/>
      <c r="BY64" s="49"/>
      <c r="BZ64" s="48"/>
      <c r="CA64" s="49"/>
      <c r="CB64" s="107"/>
      <c r="CC64" s="64"/>
      <c r="CD64" s="111" t="str">
        <f>HYPERLINK("https://t.co/pTGyyp04iI")</f>
        <v>https://t.co/pTGyyp04iI</v>
      </c>
      <c r="CE64" s="111" t="str">
        <f>HYPERLINK("http://www.insidehighered.com")</f>
        <v>http://www.insidehighered.com</v>
      </c>
      <c r="CF64" s="64" t="s">
        <v>1098</v>
      </c>
      <c r="CG64" s="64"/>
      <c r="CH64" s="64"/>
      <c r="CI64" s="64"/>
      <c r="CJ64" s="64"/>
      <c r="CK64" s="64"/>
      <c r="CL64" s="64"/>
      <c r="CM64" s="64">
        <v>1.69982844827614E+18</v>
      </c>
      <c r="CN64" s="111" t="str">
        <f>HYPERLINK("https://t.co/pTGyyp04iI")</f>
        <v>https://t.co/pTGyyp04iI</v>
      </c>
      <c r="CO64" s="64"/>
      <c r="CP64" s="64"/>
      <c r="CQ64" s="64"/>
      <c r="CR64" s="64"/>
      <c r="CS64" s="64"/>
      <c r="CT64" s="64"/>
      <c r="CU64" s="64"/>
      <c r="CV64" s="64"/>
      <c r="CW64" s="64"/>
      <c r="CX64" s="64"/>
      <c r="CY64" s="64"/>
      <c r="CZ64" s="64"/>
      <c r="DA64" s="64"/>
      <c r="DB64" s="64"/>
      <c r="DC64" s="64"/>
      <c r="DD64" s="64"/>
      <c r="DE64" s="64"/>
      <c r="DF64" s="64"/>
      <c r="DG64" s="64"/>
      <c r="DH64" s="64"/>
      <c r="DI64" s="63">
        <v>36610</v>
      </c>
      <c r="DJ64" s="63">
        <v>21657</v>
      </c>
      <c r="DK64" s="63" t="b">
        <v>1</v>
      </c>
      <c r="DL64" s="63"/>
      <c r="DM64" s="63"/>
      <c r="DN64" s="63" t="b">
        <v>1</v>
      </c>
      <c r="DO64" s="63" t="b">
        <v>1</v>
      </c>
      <c r="DP64" s="63" t="b">
        <v>1</v>
      </c>
      <c r="DQ64" s="63" t="b">
        <v>0</v>
      </c>
      <c r="DR64" s="63" t="b">
        <v>0</v>
      </c>
      <c r="DS64" s="63"/>
      <c r="DT64" s="63" t="s">
        <v>1687</v>
      </c>
      <c r="DU64" s="63" t="b">
        <v>0</v>
      </c>
      <c r="DV64" s="63"/>
    </row>
    <row r="65" spans="1:126" ht="41.45" customHeight="1">
      <c r="A65" s="62" t="s">
        <v>961</v>
      </c>
      <c r="B65" s="64"/>
      <c r="C65" s="78"/>
      <c r="D65" s="78" t="s">
        <v>64</v>
      </c>
      <c r="E65" s="84">
        <v>1000</v>
      </c>
      <c r="F65" s="112">
        <v>89.4516411081879</v>
      </c>
      <c r="G65" s="69" t="str">
        <f>HYPERLINK("https://pbs.twimg.com/profile_images/1098244578472280064/gjkVMelR_normal.png")</f>
        <v>https://pbs.twimg.com/profile_images/1098244578472280064/gjkVMelR_normal.png</v>
      </c>
      <c r="H65" s="113"/>
      <c r="I65" s="70" t="s">
        <v>961</v>
      </c>
      <c r="J65" s="114"/>
      <c r="K65" s="114"/>
      <c r="L65" s="70" t="s">
        <v>1751</v>
      </c>
      <c r="M65" s="115">
        <v>3516.4164066779135</v>
      </c>
      <c r="N65" s="91">
        <v>738.05859375</v>
      </c>
      <c r="O65" s="91">
        <v>936.579833984375</v>
      </c>
      <c r="P65" s="92"/>
      <c r="Q65" s="93"/>
      <c r="R65" s="93"/>
      <c r="S65" s="116"/>
      <c r="T65" s="48">
        <v>1</v>
      </c>
      <c r="U65" s="48">
        <v>0</v>
      </c>
      <c r="V65" s="49">
        <v>0</v>
      </c>
      <c r="W65" s="49">
        <v>0.080357</v>
      </c>
      <c r="X65" s="49">
        <v>6.5E-05</v>
      </c>
      <c r="Y65" s="49">
        <v>0.013549</v>
      </c>
      <c r="Z65" s="49">
        <v>0</v>
      </c>
      <c r="AA65" s="49">
        <v>0</v>
      </c>
      <c r="AB65" s="88">
        <v>65</v>
      </c>
      <c r="AC65" s="135"/>
      <c r="AD65" s="89"/>
      <c r="AE65" s="64" t="s">
        <v>1514</v>
      </c>
      <c r="AF65" s="64">
        <v>875</v>
      </c>
      <c r="AG65" s="64">
        <v>55041599</v>
      </c>
      <c r="AH65" s="64">
        <v>522204</v>
      </c>
      <c r="AI65" s="64"/>
      <c r="AJ65" s="64"/>
      <c r="AK65" s="64" t="s">
        <v>1638</v>
      </c>
      <c r="AL65" s="64" t="s">
        <v>1581</v>
      </c>
      <c r="AM65" s="64"/>
      <c r="AN65" s="64"/>
      <c r="AO65" s="110">
        <v>39143.862291666665</v>
      </c>
      <c r="AP65" s="111" t="str">
        <f>HYPERLINK("https://pbs.twimg.com/profile_banners/807095/1584666392")</f>
        <v>https://pbs.twimg.com/profile_banners/807095/1584666392</v>
      </c>
      <c r="AQ65" s="64" t="b">
        <v>0</v>
      </c>
      <c r="AR65" s="64" t="b">
        <v>0</v>
      </c>
      <c r="AS65" s="64"/>
      <c r="AT65" s="64"/>
      <c r="AU65" s="64">
        <v>216838</v>
      </c>
      <c r="AV65" s="64"/>
      <c r="AW65" s="64" t="b">
        <v>0</v>
      </c>
      <c r="AX65" s="64" t="s">
        <v>1689</v>
      </c>
      <c r="AY65" s="111" t="str">
        <f>HYPERLINK("https://twitter.com/nytimes")</f>
        <v>https://twitter.com/nytimes</v>
      </c>
      <c r="AZ65" s="104" t="s">
        <v>65</v>
      </c>
      <c r="BA65" s="48"/>
      <c r="BB65" s="48"/>
      <c r="BC65" s="48"/>
      <c r="BD65" s="48"/>
      <c r="BE65" s="48"/>
      <c r="BF65" s="48"/>
      <c r="BG65" s="48"/>
      <c r="BH65" s="48"/>
      <c r="BI65" s="48"/>
      <c r="BJ65" s="48"/>
      <c r="BK65" s="105"/>
      <c r="BL65" s="106"/>
      <c r="BM65" s="105"/>
      <c r="BN65" s="106"/>
      <c r="BO65" s="105"/>
      <c r="BP65" s="106"/>
      <c r="BQ65" s="48"/>
      <c r="BR65" s="49"/>
      <c r="BS65" s="48"/>
      <c r="BT65" s="63" t="str">
        <f>REPLACE(INDEX(GroupVertices[Group],MATCH(Vertices[[#This Row],[Vertex]],GroupVertices[Vertex],0)),1,1,"")</f>
        <v>2</v>
      </c>
      <c r="BU65" s="138" t="s">
        <v>1540</v>
      </c>
      <c r="BV65" s="48"/>
      <c r="BW65" s="49"/>
      <c r="BX65" s="48"/>
      <c r="BY65" s="49"/>
      <c r="BZ65" s="48"/>
      <c r="CA65" s="49"/>
      <c r="CB65" s="107"/>
      <c r="CC65" s="64"/>
      <c r="CD65" s="111" t="str">
        <f>HYPERLINK("http://t.co/ahvuWqicF9")</f>
        <v>http://t.co/ahvuWqicF9</v>
      </c>
      <c r="CE65" s="111" t="str">
        <f>HYPERLINK("http://www.nytimes.com/")</f>
        <v>http://www.nytimes.com/</v>
      </c>
      <c r="CF65" s="64" t="s">
        <v>1085</v>
      </c>
      <c r="CG65" s="111" t="str">
        <f>HYPERLINK("https://t.co/ghL9OoYKMM")</f>
        <v>https://t.co/ghL9OoYKMM</v>
      </c>
      <c r="CH65" s="111" t="str">
        <f>HYPERLINK("http://nyti.ms/2FVHq9v")</f>
        <v>http://nyti.ms/2FVHq9v</v>
      </c>
      <c r="CI65" s="64" t="s">
        <v>1684</v>
      </c>
      <c r="CJ65" s="64"/>
      <c r="CK65" s="64"/>
      <c r="CL65" s="64"/>
      <c r="CM65" s="64">
        <v>1.59368357868404E+18</v>
      </c>
      <c r="CN65" s="111" t="str">
        <f>HYPERLINK("http://t.co/ahvuWqicF9")</f>
        <v>http://t.co/ahvuWqicF9</v>
      </c>
      <c r="CO65" s="64"/>
      <c r="CP65" s="64"/>
      <c r="CQ65" s="64"/>
      <c r="CR65" s="64"/>
      <c r="CS65" s="64"/>
      <c r="CT65" s="64"/>
      <c r="CU65" s="64"/>
      <c r="CV65" s="64"/>
      <c r="CW65" s="64"/>
      <c r="CX65" s="64"/>
      <c r="CY65" s="64"/>
      <c r="CZ65" s="64"/>
      <c r="DA65" s="64"/>
      <c r="DB65" s="64"/>
      <c r="DC65" s="64"/>
      <c r="DD65" s="64"/>
      <c r="DE65" s="64"/>
      <c r="DF65" s="64"/>
      <c r="DG65" s="64"/>
      <c r="DH65" s="64"/>
      <c r="DI65" s="63">
        <v>18694</v>
      </c>
      <c r="DJ65" s="63">
        <v>66699</v>
      </c>
      <c r="DK65" s="63" t="b">
        <v>0</v>
      </c>
      <c r="DL65" s="63"/>
      <c r="DM65" s="63"/>
      <c r="DN65" s="63" t="b">
        <v>0</v>
      </c>
      <c r="DO65" s="63" t="b">
        <v>1</v>
      </c>
      <c r="DP65" s="63" t="b">
        <v>1</v>
      </c>
      <c r="DQ65" s="63" t="b">
        <v>0</v>
      </c>
      <c r="DR65" s="63" t="b">
        <v>0</v>
      </c>
      <c r="DS65" s="63"/>
      <c r="DT65" s="63" t="s">
        <v>1687</v>
      </c>
      <c r="DU65" s="63" t="b">
        <v>0</v>
      </c>
      <c r="DV65" s="63"/>
    </row>
    <row r="66" spans="1:126" ht="41.45" customHeight="1">
      <c r="A66" s="62" t="s">
        <v>962</v>
      </c>
      <c r="B66" s="64"/>
      <c r="C66" s="78"/>
      <c r="D66" s="78" t="s">
        <v>64</v>
      </c>
      <c r="E66" s="84">
        <v>162.08046354125779</v>
      </c>
      <c r="F66" s="112">
        <v>99.99970582738887</v>
      </c>
      <c r="G66" s="69" t="str">
        <f>HYPERLINK("https://pbs.twimg.com/profile_images/1664612525596344320/hmUNOKXI_normal.jpg")</f>
        <v>https://pbs.twimg.com/profile_images/1664612525596344320/hmUNOKXI_normal.jpg</v>
      </c>
      <c r="H66" s="113"/>
      <c r="I66" s="70" t="s">
        <v>962</v>
      </c>
      <c r="J66" s="114"/>
      <c r="K66" s="114"/>
      <c r="L66" s="70" t="s">
        <v>1752</v>
      </c>
      <c r="M66" s="115">
        <v>1.09803792553793</v>
      </c>
      <c r="N66" s="91">
        <v>482.2668762207031</v>
      </c>
      <c r="O66" s="91">
        <v>2358.5</v>
      </c>
      <c r="P66" s="92"/>
      <c r="Q66" s="93"/>
      <c r="R66" s="93"/>
      <c r="S66" s="116"/>
      <c r="T66" s="48">
        <v>1</v>
      </c>
      <c r="U66" s="48">
        <v>0</v>
      </c>
      <c r="V66" s="49">
        <v>0</v>
      </c>
      <c r="W66" s="49">
        <v>0.080357</v>
      </c>
      <c r="X66" s="49">
        <v>6.5E-05</v>
      </c>
      <c r="Y66" s="49">
        <v>0.013549</v>
      </c>
      <c r="Z66" s="49">
        <v>0</v>
      </c>
      <c r="AA66" s="49">
        <v>0</v>
      </c>
      <c r="AB66" s="88">
        <v>66</v>
      </c>
      <c r="AC66" s="135"/>
      <c r="AD66" s="89"/>
      <c r="AE66" s="64" t="s">
        <v>1515</v>
      </c>
      <c r="AF66" s="64">
        <v>0</v>
      </c>
      <c r="AG66" s="64">
        <v>1535</v>
      </c>
      <c r="AH66" s="64">
        <v>312</v>
      </c>
      <c r="AI66" s="64"/>
      <c r="AJ66" s="64"/>
      <c r="AK66" s="64" t="s">
        <v>1639</v>
      </c>
      <c r="AL66" s="64"/>
      <c r="AM66" s="64"/>
      <c r="AN66" s="64"/>
      <c r="AO66" s="110">
        <v>44680.618935185186</v>
      </c>
      <c r="AP66" s="111" t="str">
        <f>HYPERLINK("https://pbs.twimg.com/profile_banners/1520053071996407813/1685721340")</f>
        <v>https://pbs.twimg.com/profile_banners/1520053071996407813/1685721340</v>
      </c>
      <c r="AQ66" s="64" t="b">
        <v>1</v>
      </c>
      <c r="AR66" s="64" t="b">
        <v>0</v>
      </c>
      <c r="AS66" s="64"/>
      <c r="AT66" s="64"/>
      <c r="AU66" s="64">
        <v>5</v>
      </c>
      <c r="AV66" s="64"/>
      <c r="AW66" s="64" t="b">
        <v>0</v>
      </c>
      <c r="AX66" s="64" t="s">
        <v>1689</v>
      </c>
      <c r="AY66" s="111" t="str">
        <f>HYPERLINK("https://twitter.com/carscurious")</f>
        <v>https://twitter.com/carscurious</v>
      </c>
      <c r="AZ66" s="104" t="s">
        <v>65</v>
      </c>
      <c r="BA66" s="48"/>
      <c r="BB66" s="48"/>
      <c r="BC66" s="48"/>
      <c r="BD66" s="48"/>
      <c r="BE66" s="48"/>
      <c r="BF66" s="48"/>
      <c r="BG66" s="48"/>
      <c r="BH66" s="48"/>
      <c r="BI66" s="48"/>
      <c r="BJ66" s="48"/>
      <c r="BK66" s="105"/>
      <c r="BL66" s="106"/>
      <c r="BM66" s="105"/>
      <c r="BN66" s="106"/>
      <c r="BO66" s="105"/>
      <c r="BP66" s="106"/>
      <c r="BQ66" s="48"/>
      <c r="BR66" s="49"/>
      <c r="BS66" s="48"/>
      <c r="BT66" s="63" t="str">
        <f>REPLACE(INDEX(GroupVertices[Group],MATCH(Vertices[[#This Row],[Vertex]],GroupVertices[Vertex],0)),1,1,"")</f>
        <v>2</v>
      </c>
      <c r="BU66" s="138" t="s">
        <v>1419</v>
      </c>
      <c r="BV66" s="48"/>
      <c r="BW66" s="49"/>
      <c r="BX66" s="48"/>
      <c r="BY66" s="49"/>
      <c r="BZ66" s="48"/>
      <c r="CA66" s="49"/>
      <c r="CB66" s="107"/>
      <c r="CC66" s="64"/>
      <c r="CD66" s="64"/>
      <c r="CE66" s="64"/>
      <c r="CF66" s="64"/>
      <c r="CG66" s="64"/>
      <c r="CH66" s="64"/>
      <c r="CI66" s="64"/>
      <c r="CJ66" s="64"/>
      <c r="CK66" s="64"/>
      <c r="CL66" s="64"/>
      <c r="CM66" s="64">
        <v>1.54375351661061E+18</v>
      </c>
      <c r="CN66" s="64"/>
      <c r="CO66" s="64"/>
      <c r="CP66" s="64"/>
      <c r="CQ66" s="64"/>
      <c r="CR66" s="64"/>
      <c r="CS66" s="64"/>
      <c r="CT66" s="64"/>
      <c r="CU66" s="64"/>
      <c r="CV66" s="64"/>
      <c r="CW66" s="64"/>
      <c r="CX66" s="64"/>
      <c r="CY66" s="64"/>
      <c r="CZ66" s="64"/>
      <c r="DA66" s="64"/>
      <c r="DB66" s="64"/>
      <c r="DC66" s="64"/>
      <c r="DD66" s="64"/>
      <c r="DE66" s="64"/>
      <c r="DF66" s="64"/>
      <c r="DG66" s="64"/>
      <c r="DH66" s="64"/>
      <c r="DI66" s="63">
        <v>14</v>
      </c>
      <c r="DJ66" s="63">
        <v>144</v>
      </c>
      <c r="DK66" s="63" t="b">
        <v>1</v>
      </c>
      <c r="DL66" s="63"/>
      <c r="DM66" s="63"/>
      <c r="DN66" s="63" t="b">
        <v>0</v>
      </c>
      <c r="DO66" s="63" t="b">
        <v>1</v>
      </c>
      <c r="DP66" s="63" t="b">
        <v>0</v>
      </c>
      <c r="DQ66" s="63" t="b">
        <v>0</v>
      </c>
      <c r="DR66" s="63" t="b">
        <v>0</v>
      </c>
      <c r="DS66" s="63"/>
      <c r="DT66" s="63" t="s">
        <v>1687</v>
      </c>
      <c r="DU66" s="63" t="b">
        <v>0</v>
      </c>
      <c r="DV66" s="63"/>
    </row>
    <row r="67" spans="1:126" ht="41.45" customHeight="1">
      <c r="A67" s="62" t="s">
        <v>963</v>
      </c>
      <c r="B67" s="64"/>
      <c r="C67" s="78"/>
      <c r="D67" s="78" t="s">
        <v>64</v>
      </c>
      <c r="E67" s="84">
        <v>1000</v>
      </c>
      <c r="F67" s="112">
        <v>96.93629382601767</v>
      </c>
      <c r="G67" s="69" t="str">
        <f>HYPERLINK("https://pbs.twimg.com/profile_images/461964160838803457/8z9FImcv_normal.png")</f>
        <v>https://pbs.twimg.com/profile_images/461964160838803457/8z9FImcv_normal.png</v>
      </c>
      <c r="H67" s="113"/>
      <c r="I67" s="70" t="s">
        <v>963</v>
      </c>
      <c r="J67" s="114"/>
      <c r="K67" s="114"/>
      <c r="L67" s="70" t="s">
        <v>1753</v>
      </c>
      <c r="M67" s="115">
        <v>1022.0311442491784</v>
      </c>
      <c r="N67" s="91">
        <v>949.0396118164062</v>
      </c>
      <c r="O67" s="91">
        <v>3593.882080078125</v>
      </c>
      <c r="P67" s="92"/>
      <c r="Q67" s="93"/>
      <c r="R67" s="93"/>
      <c r="S67" s="116"/>
      <c r="T67" s="48">
        <v>1</v>
      </c>
      <c r="U67" s="48">
        <v>0</v>
      </c>
      <c r="V67" s="49">
        <v>0</v>
      </c>
      <c r="W67" s="49">
        <v>0.080357</v>
      </c>
      <c r="X67" s="49">
        <v>6.5E-05</v>
      </c>
      <c r="Y67" s="49">
        <v>0.013549</v>
      </c>
      <c r="Z67" s="49">
        <v>0</v>
      </c>
      <c r="AA67" s="49">
        <v>0</v>
      </c>
      <c r="AB67" s="88">
        <v>67</v>
      </c>
      <c r="AC67" s="135"/>
      <c r="AD67" s="89"/>
      <c r="AE67" s="64" t="s">
        <v>1516</v>
      </c>
      <c r="AF67" s="64">
        <v>6597</v>
      </c>
      <c r="AG67" s="64">
        <v>15986495</v>
      </c>
      <c r="AH67" s="64">
        <v>349540</v>
      </c>
      <c r="AI67" s="64"/>
      <c r="AJ67" s="64"/>
      <c r="AK67" s="64" t="s">
        <v>1640</v>
      </c>
      <c r="AL67" s="64" t="s">
        <v>1564</v>
      </c>
      <c r="AM67" s="64"/>
      <c r="AN67" s="64"/>
      <c r="AO67" s="110">
        <v>39990.90893518519</v>
      </c>
      <c r="AP67" s="111" t="str">
        <f>HYPERLINK("https://pbs.twimg.com/profile_banners/51241574/1638483576")</f>
        <v>https://pbs.twimg.com/profile_banners/51241574/1638483576</v>
      </c>
      <c r="AQ67" s="64" t="b">
        <v>0</v>
      </c>
      <c r="AR67" s="64" t="b">
        <v>0</v>
      </c>
      <c r="AS67" s="64"/>
      <c r="AT67" s="64"/>
      <c r="AU67" s="64">
        <v>106100</v>
      </c>
      <c r="AV67" s="64"/>
      <c r="AW67" s="64" t="b">
        <v>0</v>
      </c>
      <c r="AX67" s="64" t="s">
        <v>1689</v>
      </c>
      <c r="AY67" s="111" t="str">
        <f>HYPERLINK("https://twitter.com/ap")</f>
        <v>https://twitter.com/ap</v>
      </c>
      <c r="AZ67" s="104" t="s">
        <v>65</v>
      </c>
      <c r="BA67" s="48"/>
      <c r="BB67" s="48"/>
      <c r="BC67" s="48"/>
      <c r="BD67" s="48"/>
      <c r="BE67" s="48"/>
      <c r="BF67" s="48"/>
      <c r="BG67" s="48"/>
      <c r="BH67" s="48"/>
      <c r="BI67" s="48"/>
      <c r="BJ67" s="48"/>
      <c r="BK67" s="105"/>
      <c r="BL67" s="106"/>
      <c r="BM67" s="105"/>
      <c r="BN67" s="106"/>
      <c r="BO67" s="105"/>
      <c r="BP67" s="106"/>
      <c r="BQ67" s="48"/>
      <c r="BR67" s="49"/>
      <c r="BS67" s="48"/>
      <c r="BT67" s="63" t="str">
        <f>REPLACE(INDEX(GroupVertices[Group],MATCH(Vertices[[#This Row],[Vertex]],GroupVertices[Vertex],0)),1,1,"")</f>
        <v>2</v>
      </c>
      <c r="BU67" s="138" t="s">
        <v>1541</v>
      </c>
      <c r="BV67" s="48"/>
      <c r="BW67" s="49"/>
      <c r="BX67" s="48"/>
      <c r="BY67" s="49"/>
      <c r="BZ67" s="48"/>
      <c r="CA67" s="49"/>
      <c r="CB67" s="107"/>
      <c r="CC67" s="64"/>
      <c r="CD67" s="111" t="str">
        <f>HYPERLINK("https://t.co/0HD7A9hKKy")</f>
        <v>https://t.co/0HD7A9hKKy</v>
      </c>
      <c r="CE67" s="111" t="str">
        <f>HYPERLINK("https://apnews.com/")</f>
        <v>https://apnews.com/</v>
      </c>
      <c r="CF67" s="64" t="s">
        <v>1099</v>
      </c>
      <c r="CG67" s="64"/>
      <c r="CH67" s="64"/>
      <c r="CI67" s="64"/>
      <c r="CJ67" s="64"/>
      <c r="CK67" s="64"/>
      <c r="CL67" s="64"/>
      <c r="CM67" s="64"/>
      <c r="CN67" s="111" t="str">
        <f>HYPERLINK("https://t.co/0HD7A9hKKy")</f>
        <v>https://t.co/0HD7A9hKKy</v>
      </c>
      <c r="CO67" s="64"/>
      <c r="CP67" s="64"/>
      <c r="CQ67" s="64"/>
      <c r="CR67" s="64"/>
      <c r="CS67" s="64"/>
      <c r="CT67" s="64"/>
      <c r="CU67" s="64"/>
      <c r="CV67" s="64"/>
      <c r="CW67" s="64"/>
      <c r="CX67" s="64"/>
      <c r="CY67" s="64"/>
      <c r="CZ67" s="64"/>
      <c r="DA67" s="64"/>
      <c r="DB67" s="64"/>
      <c r="DC67" s="64"/>
      <c r="DD67" s="64"/>
      <c r="DE67" s="64"/>
      <c r="DF67" s="64"/>
      <c r="DG67" s="64"/>
      <c r="DH67" s="64"/>
      <c r="DI67" s="63">
        <v>4327</v>
      </c>
      <c r="DJ67" s="63">
        <v>12546</v>
      </c>
      <c r="DK67" s="63" t="b">
        <v>1</v>
      </c>
      <c r="DL67" s="63"/>
      <c r="DM67" s="63"/>
      <c r="DN67" s="63" t="b">
        <v>0</v>
      </c>
      <c r="DO67" s="63" t="b">
        <v>1</v>
      </c>
      <c r="DP67" s="63" t="b">
        <v>1</v>
      </c>
      <c r="DQ67" s="63" t="b">
        <v>0</v>
      </c>
      <c r="DR67" s="63" t="b">
        <v>0</v>
      </c>
      <c r="DS67" s="63"/>
      <c r="DT67" s="63" t="s">
        <v>1687</v>
      </c>
      <c r="DU67" s="63" t="b">
        <v>0</v>
      </c>
      <c r="DV67" s="63"/>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DW3"/>
    <dataValidation allowBlank="1" showErrorMessage="1" sqref="D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143</v>
      </c>
      <c r="B2" s="13" t="s">
        <v>21</v>
      </c>
      <c r="C2" s="13" t="s">
        <v>20</v>
      </c>
      <c r="D2" s="13" t="s">
        <v>11</v>
      </c>
      <c r="E2" s="13" t="s">
        <v>144</v>
      </c>
      <c r="F2" s="13" t="s">
        <v>46</v>
      </c>
      <c r="G2" s="13" t="s">
        <v>165</v>
      </c>
      <c r="H2" s="13" t="s">
        <v>166</v>
      </c>
      <c r="I2" s="13" t="s">
        <v>12</v>
      </c>
      <c r="J2" s="13" t="s">
        <v>164</v>
      </c>
      <c r="K2" s="13" t="s">
        <v>145</v>
      </c>
      <c r="L2" s="13" t="s">
        <v>147</v>
      </c>
      <c r="M2" s="13" t="s">
        <v>148</v>
      </c>
      <c r="N2" s="13" t="s">
        <v>149</v>
      </c>
      <c r="O2" s="13" t="s">
        <v>150</v>
      </c>
      <c r="P2" s="13" t="s">
        <v>168</v>
      </c>
      <c r="Q2" s="13" t="s">
        <v>169</v>
      </c>
      <c r="R2" s="13" t="s">
        <v>151</v>
      </c>
      <c r="S2" s="13" t="s">
        <v>152</v>
      </c>
      <c r="T2" s="13" t="s">
        <v>153</v>
      </c>
      <c r="U2" s="13" t="s">
        <v>154</v>
      </c>
      <c r="V2" s="13" t="s">
        <v>155</v>
      </c>
      <c r="W2" s="13" t="s">
        <v>156</v>
      </c>
      <c r="X2" s="13" t="s">
        <v>157</v>
      </c>
      <c r="Y2" s="13" t="s">
        <v>224</v>
      </c>
      <c r="Z2" s="13" t="s">
        <v>226</v>
      </c>
      <c r="AA2" s="13" t="s">
        <v>228</v>
      </c>
      <c r="AB2" s="13" t="s">
        <v>230</v>
      </c>
      <c r="AC2" s="13" t="s">
        <v>232</v>
      </c>
      <c r="AD2" s="13" t="s">
        <v>235</v>
      </c>
      <c r="AE2" s="13" t="s">
        <v>236</v>
      </c>
      <c r="AF2" s="13" t="s">
        <v>238</v>
      </c>
      <c r="AG2" s="52" t="s">
        <v>259</v>
      </c>
      <c r="AH2" s="52" t="s">
        <v>260</v>
      </c>
      <c r="AI2" s="52" t="s">
        <v>261</v>
      </c>
      <c r="AJ2" s="52" t="s">
        <v>262</v>
      </c>
      <c r="AK2" s="52" t="s">
        <v>263</v>
      </c>
      <c r="AL2" s="52" t="s">
        <v>264</v>
      </c>
      <c r="AM2" s="52" t="s">
        <v>265</v>
      </c>
      <c r="AN2" s="52" t="s">
        <v>266</v>
      </c>
      <c r="AO2" s="52" t="s">
        <v>269</v>
      </c>
      <c r="AP2" s="52" t="s">
        <v>671</v>
      </c>
      <c r="AQ2" s="52" t="s">
        <v>672</v>
      </c>
      <c r="AR2" s="52" t="s">
        <v>673</v>
      </c>
      <c r="AS2" s="52" t="s">
        <v>674</v>
      </c>
      <c r="AT2" s="52" t="s">
        <v>675</v>
      </c>
      <c r="AU2" s="52" t="s">
        <v>676</v>
      </c>
    </row>
    <row r="3" spans="1:47" ht="15">
      <c r="A3" s="77" t="s">
        <v>692</v>
      </c>
      <c r="B3" s="78" t="s">
        <v>694</v>
      </c>
      <c r="C3" s="78" t="s">
        <v>56</v>
      </c>
      <c r="D3" s="72"/>
      <c r="E3" s="71"/>
      <c r="F3" s="73" t="s">
        <v>2240</v>
      </c>
      <c r="G3" s="74"/>
      <c r="H3" s="74"/>
      <c r="I3" s="75">
        <v>3</v>
      </c>
      <c r="J3" s="76"/>
      <c r="K3" s="48">
        <v>13</v>
      </c>
      <c r="L3" s="48">
        <v>9</v>
      </c>
      <c r="M3" s="48">
        <v>42</v>
      </c>
      <c r="N3" s="48">
        <v>51</v>
      </c>
      <c r="O3" s="48">
        <v>10</v>
      </c>
      <c r="P3" s="49">
        <v>0.08333333333333333</v>
      </c>
      <c r="Q3" s="49">
        <v>0.15384615384615385</v>
      </c>
      <c r="R3" s="48">
        <v>1</v>
      </c>
      <c r="S3" s="48">
        <v>0</v>
      </c>
      <c r="T3" s="48">
        <v>13</v>
      </c>
      <c r="U3" s="48">
        <v>51</v>
      </c>
      <c r="V3" s="48">
        <v>3</v>
      </c>
      <c r="W3" s="49">
        <v>1.822485</v>
      </c>
      <c r="X3" s="49">
        <v>0.08333333333333333</v>
      </c>
      <c r="Y3" s="63" t="s">
        <v>1775</v>
      </c>
      <c r="Z3" s="63" t="s">
        <v>1779</v>
      </c>
      <c r="AA3" s="63" t="s">
        <v>1795</v>
      </c>
      <c r="AB3" s="67" t="s">
        <v>1851</v>
      </c>
      <c r="AC3" s="67" t="s">
        <v>1918</v>
      </c>
      <c r="AD3" s="67" t="s">
        <v>1926</v>
      </c>
      <c r="AE3" s="67" t="s">
        <v>1930</v>
      </c>
      <c r="AF3" s="67" t="s">
        <v>1938</v>
      </c>
      <c r="AG3" s="83"/>
      <c r="AH3" s="95"/>
      <c r="AI3" s="83"/>
      <c r="AJ3" s="95"/>
      <c r="AK3" s="83"/>
      <c r="AL3" s="95"/>
      <c r="AM3" s="83">
        <v>328</v>
      </c>
      <c r="AN3" s="95">
        <v>92.65536723163842</v>
      </c>
      <c r="AO3" s="83">
        <v>354</v>
      </c>
      <c r="AP3" s="83">
        <v>0</v>
      </c>
      <c r="AQ3" s="95">
        <v>0</v>
      </c>
      <c r="AR3" s="83">
        <v>0</v>
      </c>
      <c r="AS3" s="95">
        <v>0</v>
      </c>
      <c r="AT3" s="83">
        <v>0</v>
      </c>
      <c r="AU3" s="95">
        <v>0</v>
      </c>
    </row>
    <row r="4" spans="1:47" ht="15">
      <c r="A4" s="117" t="s">
        <v>693</v>
      </c>
      <c r="B4" s="78" t="s">
        <v>695</v>
      </c>
      <c r="C4" s="78" t="s">
        <v>56</v>
      </c>
      <c r="D4" s="131"/>
      <c r="E4" s="129"/>
      <c r="F4" s="14" t="s">
        <v>2241</v>
      </c>
      <c r="G4" s="130"/>
      <c r="H4" s="130"/>
      <c r="I4" s="132">
        <v>4</v>
      </c>
      <c r="J4" s="133"/>
      <c r="K4" s="48">
        <v>8</v>
      </c>
      <c r="L4" s="48">
        <v>5</v>
      </c>
      <c r="M4" s="48">
        <v>17</v>
      </c>
      <c r="N4" s="48">
        <v>22</v>
      </c>
      <c r="O4" s="48">
        <v>3</v>
      </c>
      <c r="P4" s="49">
        <v>0</v>
      </c>
      <c r="Q4" s="49">
        <v>0</v>
      </c>
      <c r="R4" s="48">
        <v>1</v>
      </c>
      <c r="S4" s="48">
        <v>0</v>
      </c>
      <c r="T4" s="48">
        <v>8</v>
      </c>
      <c r="U4" s="48">
        <v>22</v>
      </c>
      <c r="V4" s="48">
        <v>3</v>
      </c>
      <c r="W4" s="49">
        <v>1.6875</v>
      </c>
      <c r="X4" s="49">
        <v>0.125</v>
      </c>
      <c r="Y4" s="63" t="s">
        <v>1776</v>
      </c>
      <c r="Z4" s="63" t="s">
        <v>1780</v>
      </c>
      <c r="AA4" s="63" t="s">
        <v>1796</v>
      </c>
      <c r="AB4" s="67" t="s">
        <v>1852</v>
      </c>
      <c r="AC4" s="67" t="s">
        <v>1919</v>
      </c>
      <c r="AD4" s="63" t="s">
        <v>962</v>
      </c>
      <c r="AE4" s="63" t="s">
        <v>1931</v>
      </c>
      <c r="AF4" s="63" t="s">
        <v>1939</v>
      </c>
      <c r="AG4" s="134"/>
      <c r="AH4" s="106"/>
      <c r="AI4" s="105"/>
      <c r="AJ4" s="106"/>
      <c r="AK4" s="105"/>
      <c r="AL4" s="106"/>
      <c r="AM4" s="48">
        <v>318</v>
      </c>
      <c r="AN4" s="49">
        <v>64.63414634146342</v>
      </c>
      <c r="AO4" s="48">
        <v>492</v>
      </c>
      <c r="AP4" s="48">
        <v>0</v>
      </c>
      <c r="AQ4" s="49">
        <v>0</v>
      </c>
      <c r="AR4" s="48">
        <v>0</v>
      </c>
      <c r="AS4" s="49">
        <v>0</v>
      </c>
      <c r="AT4" s="48">
        <v>0</v>
      </c>
      <c r="AU4" s="49">
        <v>0</v>
      </c>
    </row>
    <row r="5" spans="1:47" ht="15">
      <c r="A5" s="117" t="s">
        <v>804</v>
      </c>
      <c r="B5" s="78" t="s">
        <v>816</v>
      </c>
      <c r="C5" s="78" t="s">
        <v>56</v>
      </c>
      <c r="D5" s="131"/>
      <c r="E5" s="129"/>
      <c r="F5" s="14" t="s">
        <v>2242</v>
      </c>
      <c r="G5" s="130"/>
      <c r="H5" s="130"/>
      <c r="I5" s="132">
        <v>5</v>
      </c>
      <c r="J5" s="133"/>
      <c r="K5" s="48">
        <v>7</v>
      </c>
      <c r="L5" s="48">
        <v>10</v>
      </c>
      <c r="M5" s="48">
        <v>2</v>
      </c>
      <c r="N5" s="48">
        <v>12</v>
      </c>
      <c r="O5" s="48">
        <v>5</v>
      </c>
      <c r="P5" s="49">
        <v>0</v>
      </c>
      <c r="Q5" s="49">
        <v>0</v>
      </c>
      <c r="R5" s="48">
        <v>1</v>
      </c>
      <c r="S5" s="48">
        <v>0</v>
      </c>
      <c r="T5" s="48">
        <v>7</v>
      </c>
      <c r="U5" s="48">
        <v>12</v>
      </c>
      <c r="V5" s="48">
        <v>4</v>
      </c>
      <c r="W5" s="49">
        <v>1.795918</v>
      </c>
      <c r="X5" s="49">
        <v>0.14285714285714285</v>
      </c>
      <c r="Y5" s="63"/>
      <c r="Z5" s="63"/>
      <c r="AA5" s="63"/>
      <c r="AB5" s="67" t="s">
        <v>1853</v>
      </c>
      <c r="AC5" s="67" t="s">
        <v>1920</v>
      </c>
      <c r="AD5" s="63"/>
      <c r="AE5" s="63" t="s">
        <v>1932</v>
      </c>
      <c r="AF5" s="63" t="s">
        <v>1940</v>
      </c>
      <c r="AG5" s="134"/>
      <c r="AH5" s="106"/>
      <c r="AI5" s="105"/>
      <c r="AJ5" s="106"/>
      <c r="AK5" s="105"/>
      <c r="AL5" s="106"/>
      <c r="AM5" s="48">
        <v>88</v>
      </c>
      <c r="AN5" s="49">
        <v>67.6923076923077</v>
      </c>
      <c r="AO5" s="48">
        <v>130</v>
      </c>
      <c r="AP5" s="48">
        <v>0</v>
      </c>
      <c r="AQ5" s="49">
        <v>0</v>
      </c>
      <c r="AR5" s="48">
        <v>0</v>
      </c>
      <c r="AS5" s="49">
        <v>0</v>
      </c>
      <c r="AT5" s="48">
        <v>0</v>
      </c>
      <c r="AU5" s="49">
        <v>0</v>
      </c>
    </row>
    <row r="6" spans="1:47" ht="15">
      <c r="A6" s="117" t="s">
        <v>805</v>
      </c>
      <c r="B6" s="78" t="s">
        <v>817</v>
      </c>
      <c r="C6" s="78" t="s">
        <v>56</v>
      </c>
      <c r="D6" s="131"/>
      <c r="E6" s="129"/>
      <c r="F6" s="14" t="s">
        <v>2243</v>
      </c>
      <c r="G6" s="130"/>
      <c r="H6" s="130"/>
      <c r="I6" s="132">
        <v>6</v>
      </c>
      <c r="J6" s="133"/>
      <c r="K6" s="48">
        <v>6</v>
      </c>
      <c r="L6" s="48">
        <v>6</v>
      </c>
      <c r="M6" s="48">
        <v>5</v>
      </c>
      <c r="N6" s="48">
        <v>11</v>
      </c>
      <c r="O6" s="48">
        <v>3</v>
      </c>
      <c r="P6" s="49">
        <v>0</v>
      </c>
      <c r="Q6" s="49">
        <v>0</v>
      </c>
      <c r="R6" s="48">
        <v>1</v>
      </c>
      <c r="S6" s="48">
        <v>0</v>
      </c>
      <c r="T6" s="48">
        <v>6</v>
      </c>
      <c r="U6" s="48">
        <v>11</v>
      </c>
      <c r="V6" s="48">
        <v>2</v>
      </c>
      <c r="W6" s="49">
        <v>1.388889</v>
      </c>
      <c r="X6" s="49">
        <v>0.16666666666666666</v>
      </c>
      <c r="Y6" s="63" t="s">
        <v>1762</v>
      </c>
      <c r="Z6" s="63" t="s">
        <v>1087</v>
      </c>
      <c r="AA6" s="63"/>
      <c r="AB6" s="67" t="s">
        <v>1854</v>
      </c>
      <c r="AC6" s="67" t="s">
        <v>1921</v>
      </c>
      <c r="AD6" s="63" t="s">
        <v>1927</v>
      </c>
      <c r="AE6" s="63" t="s">
        <v>1933</v>
      </c>
      <c r="AF6" s="63" t="s">
        <v>1941</v>
      </c>
      <c r="AG6" s="134"/>
      <c r="AH6" s="106"/>
      <c r="AI6" s="105"/>
      <c r="AJ6" s="106"/>
      <c r="AK6" s="105"/>
      <c r="AL6" s="106"/>
      <c r="AM6" s="48">
        <v>74</v>
      </c>
      <c r="AN6" s="49">
        <v>56.48854961832061</v>
      </c>
      <c r="AO6" s="48">
        <v>131</v>
      </c>
      <c r="AP6" s="48">
        <v>0</v>
      </c>
      <c r="AQ6" s="49">
        <v>0</v>
      </c>
      <c r="AR6" s="48">
        <v>0</v>
      </c>
      <c r="AS6" s="49">
        <v>0</v>
      </c>
      <c r="AT6" s="48">
        <v>0</v>
      </c>
      <c r="AU6" s="49">
        <v>0</v>
      </c>
    </row>
    <row r="7" spans="1:47" ht="15">
      <c r="A7" s="117" t="s">
        <v>806</v>
      </c>
      <c r="B7" s="78" t="s">
        <v>818</v>
      </c>
      <c r="C7" s="78" t="s">
        <v>56</v>
      </c>
      <c r="D7" s="131"/>
      <c r="E7" s="129"/>
      <c r="F7" s="14" t="s">
        <v>806</v>
      </c>
      <c r="G7" s="130"/>
      <c r="H7" s="130"/>
      <c r="I7" s="132">
        <v>7</v>
      </c>
      <c r="J7" s="133"/>
      <c r="K7" s="48">
        <v>6</v>
      </c>
      <c r="L7" s="48">
        <v>5</v>
      </c>
      <c r="M7" s="48">
        <v>0</v>
      </c>
      <c r="N7" s="48">
        <v>5</v>
      </c>
      <c r="O7" s="48">
        <v>0</v>
      </c>
      <c r="P7" s="49">
        <v>0</v>
      </c>
      <c r="Q7" s="49">
        <v>0</v>
      </c>
      <c r="R7" s="48">
        <v>1</v>
      </c>
      <c r="S7" s="48">
        <v>0</v>
      </c>
      <c r="T7" s="48">
        <v>6</v>
      </c>
      <c r="U7" s="48">
        <v>5</v>
      </c>
      <c r="V7" s="48">
        <v>2</v>
      </c>
      <c r="W7" s="49">
        <v>1.388889</v>
      </c>
      <c r="X7" s="49">
        <v>0.16666666666666666</v>
      </c>
      <c r="Y7" s="63"/>
      <c r="Z7" s="63"/>
      <c r="AA7" s="63"/>
      <c r="AB7" s="67" t="s">
        <v>691</v>
      </c>
      <c r="AC7" s="67" t="s">
        <v>691</v>
      </c>
      <c r="AD7" s="63" t="s">
        <v>1928</v>
      </c>
      <c r="AE7" s="63" t="s">
        <v>1934</v>
      </c>
      <c r="AF7" s="63" t="s">
        <v>1942</v>
      </c>
      <c r="AG7" s="134"/>
      <c r="AH7" s="106"/>
      <c r="AI7" s="105"/>
      <c r="AJ7" s="106"/>
      <c r="AK7" s="105"/>
      <c r="AL7" s="106"/>
      <c r="AM7" s="48">
        <v>10</v>
      </c>
      <c r="AN7" s="49">
        <v>100</v>
      </c>
      <c r="AO7" s="48">
        <v>10</v>
      </c>
      <c r="AP7" s="48">
        <v>0</v>
      </c>
      <c r="AQ7" s="49">
        <v>0</v>
      </c>
      <c r="AR7" s="48">
        <v>0</v>
      </c>
      <c r="AS7" s="49">
        <v>0</v>
      </c>
      <c r="AT7" s="48">
        <v>0</v>
      </c>
      <c r="AU7" s="49">
        <v>0</v>
      </c>
    </row>
    <row r="8" spans="1:47" ht="15">
      <c r="A8" s="117" t="s">
        <v>807</v>
      </c>
      <c r="B8" s="78" t="s">
        <v>819</v>
      </c>
      <c r="C8" s="78" t="s">
        <v>56</v>
      </c>
      <c r="D8" s="131"/>
      <c r="E8" s="129"/>
      <c r="F8" s="14" t="s">
        <v>2244</v>
      </c>
      <c r="G8" s="130"/>
      <c r="H8" s="130"/>
      <c r="I8" s="132">
        <v>8</v>
      </c>
      <c r="J8" s="133"/>
      <c r="K8" s="48">
        <v>5</v>
      </c>
      <c r="L8" s="48">
        <v>0</v>
      </c>
      <c r="M8" s="48">
        <v>8</v>
      </c>
      <c r="N8" s="48">
        <v>8</v>
      </c>
      <c r="O8" s="48">
        <v>0</v>
      </c>
      <c r="P8" s="49">
        <v>0</v>
      </c>
      <c r="Q8" s="49">
        <v>0</v>
      </c>
      <c r="R8" s="48">
        <v>1</v>
      </c>
      <c r="S8" s="48">
        <v>0</v>
      </c>
      <c r="T8" s="48">
        <v>5</v>
      </c>
      <c r="U8" s="48">
        <v>8</v>
      </c>
      <c r="V8" s="48">
        <v>2</v>
      </c>
      <c r="W8" s="49">
        <v>1.28</v>
      </c>
      <c r="X8" s="49">
        <v>0.2</v>
      </c>
      <c r="Y8" s="63"/>
      <c r="Z8" s="63"/>
      <c r="AA8" s="63"/>
      <c r="AB8" s="67" t="s">
        <v>1855</v>
      </c>
      <c r="AC8" s="67" t="s">
        <v>1922</v>
      </c>
      <c r="AD8" s="63" t="s">
        <v>1929</v>
      </c>
      <c r="AE8" s="63" t="s">
        <v>1935</v>
      </c>
      <c r="AF8" s="63" t="s">
        <v>1943</v>
      </c>
      <c r="AG8" s="134"/>
      <c r="AH8" s="106"/>
      <c r="AI8" s="105"/>
      <c r="AJ8" s="106"/>
      <c r="AK8" s="105"/>
      <c r="AL8" s="106"/>
      <c r="AM8" s="48">
        <v>14</v>
      </c>
      <c r="AN8" s="49">
        <v>87.5</v>
      </c>
      <c r="AO8" s="48">
        <v>16</v>
      </c>
      <c r="AP8" s="48">
        <v>0</v>
      </c>
      <c r="AQ8" s="49">
        <v>0</v>
      </c>
      <c r="AR8" s="48">
        <v>0</v>
      </c>
      <c r="AS8" s="49">
        <v>0</v>
      </c>
      <c r="AT8" s="48">
        <v>0</v>
      </c>
      <c r="AU8" s="49">
        <v>0</v>
      </c>
    </row>
    <row r="9" spans="1:47" ht="15">
      <c r="A9" s="117" t="s">
        <v>808</v>
      </c>
      <c r="B9" s="78" t="s">
        <v>820</v>
      </c>
      <c r="C9" s="78" t="s">
        <v>56</v>
      </c>
      <c r="D9" s="131"/>
      <c r="E9" s="129"/>
      <c r="F9" s="14" t="s">
        <v>2245</v>
      </c>
      <c r="G9" s="130"/>
      <c r="H9" s="130"/>
      <c r="I9" s="132">
        <v>9</v>
      </c>
      <c r="J9" s="133"/>
      <c r="K9" s="48">
        <v>4</v>
      </c>
      <c r="L9" s="48">
        <v>6</v>
      </c>
      <c r="M9" s="48">
        <v>0</v>
      </c>
      <c r="N9" s="48">
        <v>6</v>
      </c>
      <c r="O9" s="48">
        <v>3</v>
      </c>
      <c r="P9" s="49">
        <v>0</v>
      </c>
      <c r="Q9" s="49">
        <v>0</v>
      </c>
      <c r="R9" s="48">
        <v>1</v>
      </c>
      <c r="S9" s="48">
        <v>0</v>
      </c>
      <c r="T9" s="48">
        <v>4</v>
      </c>
      <c r="U9" s="48">
        <v>6</v>
      </c>
      <c r="V9" s="48">
        <v>2</v>
      </c>
      <c r="W9" s="49">
        <v>1.125</v>
      </c>
      <c r="X9" s="49">
        <v>0.25</v>
      </c>
      <c r="Y9" s="63" t="s">
        <v>1774</v>
      </c>
      <c r="Z9" s="63" t="s">
        <v>1089</v>
      </c>
      <c r="AA9" s="63" t="s">
        <v>1797</v>
      </c>
      <c r="AB9" s="67" t="s">
        <v>1856</v>
      </c>
      <c r="AC9" s="67" t="s">
        <v>1923</v>
      </c>
      <c r="AD9" s="63"/>
      <c r="AE9" s="63" t="s">
        <v>1936</v>
      </c>
      <c r="AF9" s="63" t="s">
        <v>1944</v>
      </c>
      <c r="AG9" s="134"/>
      <c r="AH9" s="106"/>
      <c r="AI9" s="105"/>
      <c r="AJ9" s="106"/>
      <c r="AK9" s="105"/>
      <c r="AL9" s="106"/>
      <c r="AM9" s="48">
        <v>105</v>
      </c>
      <c r="AN9" s="49">
        <v>69.07894736842105</v>
      </c>
      <c r="AO9" s="48">
        <v>152</v>
      </c>
      <c r="AP9" s="48">
        <v>0</v>
      </c>
      <c r="AQ9" s="49">
        <v>0</v>
      </c>
      <c r="AR9" s="48">
        <v>0</v>
      </c>
      <c r="AS9" s="49">
        <v>0</v>
      </c>
      <c r="AT9" s="48">
        <v>0</v>
      </c>
      <c r="AU9" s="49">
        <v>0</v>
      </c>
    </row>
    <row r="10" spans="1:47" ht="14.25" customHeight="1">
      <c r="A10" s="117" t="s">
        <v>809</v>
      </c>
      <c r="B10" s="78" t="s">
        <v>821</v>
      </c>
      <c r="C10" s="78" t="s">
        <v>56</v>
      </c>
      <c r="D10" s="131"/>
      <c r="E10" s="129"/>
      <c r="F10" s="14" t="s">
        <v>2246</v>
      </c>
      <c r="G10" s="130"/>
      <c r="H10" s="130"/>
      <c r="I10" s="132">
        <v>10</v>
      </c>
      <c r="J10" s="133"/>
      <c r="K10" s="48">
        <v>3</v>
      </c>
      <c r="L10" s="48">
        <v>2</v>
      </c>
      <c r="M10" s="48">
        <v>0</v>
      </c>
      <c r="N10" s="48">
        <v>2</v>
      </c>
      <c r="O10" s="48">
        <v>0</v>
      </c>
      <c r="P10" s="49">
        <v>0</v>
      </c>
      <c r="Q10" s="49">
        <v>0</v>
      </c>
      <c r="R10" s="48">
        <v>1</v>
      </c>
      <c r="S10" s="48">
        <v>0</v>
      </c>
      <c r="T10" s="48">
        <v>3</v>
      </c>
      <c r="U10" s="48">
        <v>2</v>
      </c>
      <c r="V10" s="48">
        <v>2</v>
      </c>
      <c r="W10" s="49">
        <v>0.888889</v>
      </c>
      <c r="X10" s="49">
        <v>0.3333333333333333</v>
      </c>
      <c r="Y10" s="63"/>
      <c r="Z10" s="63"/>
      <c r="AA10" s="63"/>
      <c r="AB10" s="67" t="s">
        <v>1857</v>
      </c>
      <c r="AC10" s="67" t="s">
        <v>1924</v>
      </c>
      <c r="AD10" s="63"/>
      <c r="AE10" s="63" t="s">
        <v>1937</v>
      </c>
      <c r="AF10" s="63" t="s">
        <v>1945</v>
      </c>
      <c r="AG10" s="134"/>
      <c r="AH10" s="106"/>
      <c r="AI10" s="105"/>
      <c r="AJ10" s="106"/>
      <c r="AK10" s="105"/>
      <c r="AL10" s="106"/>
      <c r="AM10" s="48">
        <v>24</v>
      </c>
      <c r="AN10" s="49">
        <v>64.86486486486487</v>
      </c>
      <c r="AO10" s="48">
        <v>37</v>
      </c>
      <c r="AP10" s="48">
        <v>0</v>
      </c>
      <c r="AQ10" s="49">
        <v>0</v>
      </c>
      <c r="AR10" s="48">
        <v>0</v>
      </c>
      <c r="AS10" s="49">
        <v>0</v>
      </c>
      <c r="AT10" s="48">
        <v>0</v>
      </c>
      <c r="AU10" s="49">
        <v>0</v>
      </c>
    </row>
    <row r="11" spans="1:47" ht="15">
      <c r="A11" s="117" t="s">
        <v>810</v>
      </c>
      <c r="B11" s="78" t="s">
        <v>822</v>
      </c>
      <c r="C11" s="78" t="s">
        <v>56</v>
      </c>
      <c r="D11" s="131"/>
      <c r="E11" s="129"/>
      <c r="F11" s="14" t="s">
        <v>2247</v>
      </c>
      <c r="G11" s="130"/>
      <c r="H11" s="130"/>
      <c r="I11" s="132">
        <v>11</v>
      </c>
      <c r="J11" s="133"/>
      <c r="K11" s="48">
        <v>3</v>
      </c>
      <c r="L11" s="48">
        <v>2</v>
      </c>
      <c r="M11" s="48">
        <v>0</v>
      </c>
      <c r="N11" s="48">
        <v>2</v>
      </c>
      <c r="O11" s="48">
        <v>0</v>
      </c>
      <c r="P11" s="49">
        <v>0</v>
      </c>
      <c r="Q11" s="49">
        <v>0</v>
      </c>
      <c r="R11" s="48">
        <v>1</v>
      </c>
      <c r="S11" s="48">
        <v>0</v>
      </c>
      <c r="T11" s="48">
        <v>3</v>
      </c>
      <c r="U11" s="48">
        <v>2</v>
      </c>
      <c r="V11" s="48">
        <v>2</v>
      </c>
      <c r="W11" s="49">
        <v>0.888889</v>
      </c>
      <c r="X11" s="49">
        <v>0.3333333333333333</v>
      </c>
      <c r="Y11" s="63"/>
      <c r="Z11" s="63"/>
      <c r="AA11" s="63"/>
      <c r="AB11" s="67" t="s">
        <v>1850</v>
      </c>
      <c r="AC11" s="67" t="s">
        <v>691</v>
      </c>
      <c r="AD11" s="63" t="s">
        <v>956</v>
      </c>
      <c r="AE11" s="63" t="s">
        <v>955</v>
      </c>
      <c r="AF11" s="63" t="s">
        <v>1946</v>
      </c>
      <c r="AG11" s="134"/>
      <c r="AH11" s="106"/>
      <c r="AI11" s="105"/>
      <c r="AJ11" s="106"/>
      <c r="AK11" s="105"/>
      <c r="AL11" s="106"/>
      <c r="AM11" s="48">
        <v>12</v>
      </c>
      <c r="AN11" s="49">
        <v>70.58823529411765</v>
      </c>
      <c r="AO11" s="48">
        <v>17</v>
      </c>
      <c r="AP11" s="48">
        <v>0</v>
      </c>
      <c r="AQ11" s="49">
        <v>0</v>
      </c>
      <c r="AR11" s="48">
        <v>0</v>
      </c>
      <c r="AS11" s="49">
        <v>0</v>
      </c>
      <c r="AT11" s="48">
        <v>0</v>
      </c>
      <c r="AU11" s="49">
        <v>0</v>
      </c>
    </row>
    <row r="12" spans="1:47" ht="15">
      <c r="A12" s="117" t="s">
        <v>811</v>
      </c>
      <c r="B12" s="78" t="s">
        <v>823</v>
      </c>
      <c r="C12" s="78" t="s">
        <v>56</v>
      </c>
      <c r="D12" s="131"/>
      <c r="E12" s="129"/>
      <c r="F12" s="14" t="s">
        <v>811</v>
      </c>
      <c r="G12" s="130"/>
      <c r="H12" s="130"/>
      <c r="I12" s="132">
        <v>12</v>
      </c>
      <c r="J12" s="133"/>
      <c r="K12" s="48">
        <v>2</v>
      </c>
      <c r="L12" s="48">
        <v>1</v>
      </c>
      <c r="M12" s="48">
        <v>0</v>
      </c>
      <c r="N12" s="48">
        <v>1</v>
      </c>
      <c r="O12" s="48">
        <v>0</v>
      </c>
      <c r="P12" s="49">
        <v>0</v>
      </c>
      <c r="Q12" s="49">
        <v>0</v>
      </c>
      <c r="R12" s="48">
        <v>1</v>
      </c>
      <c r="S12" s="48">
        <v>0</v>
      </c>
      <c r="T12" s="48">
        <v>2</v>
      </c>
      <c r="U12" s="48">
        <v>1</v>
      </c>
      <c r="V12" s="48">
        <v>1</v>
      </c>
      <c r="W12" s="49">
        <v>0.5</v>
      </c>
      <c r="X12" s="49">
        <v>0.5</v>
      </c>
      <c r="Y12" s="63"/>
      <c r="Z12" s="63"/>
      <c r="AA12" s="63"/>
      <c r="AB12" s="67" t="s">
        <v>691</v>
      </c>
      <c r="AC12" s="67" t="s">
        <v>691</v>
      </c>
      <c r="AD12" s="63" t="s">
        <v>951</v>
      </c>
      <c r="AE12" s="63"/>
      <c r="AF12" s="63" t="s">
        <v>1947</v>
      </c>
      <c r="AG12" s="134"/>
      <c r="AH12" s="106"/>
      <c r="AI12" s="105"/>
      <c r="AJ12" s="106"/>
      <c r="AK12" s="105"/>
      <c r="AL12" s="106"/>
      <c r="AM12" s="48">
        <v>4</v>
      </c>
      <c r="AN12" s="49">
        <v>100</v>
      </c>
      <c r="AO12" s="48">
        <v>4</v>
      </c>
      <c r="AP12" s="48">
        <v>0</v>
      </c>
      <c r="AQ12" s="49">
        <v>0</v>
      </c>
      <c r="AR12" s="48">
        <v>0</v>
      </c>
      <c r="AS12" s="49">
        <v>0</v>
      </c>
      <c r="AT12" s="48">
        <v>0</v>
      </c>
      <c r="AU12" s="49">
        <v>0</v>
      </c>
    </row>
    <row r="13" spans="1:47" ht="15">
      <c r="A13" s="117" t="s">
        <v>812</v>
      </c>
      <c r="B13" s="78" t="s">
        <v>824</v>
      </c>
      <c r="C13" s="78" t="s">
        <v>56</v>
      </c>
      <c r="D13" s="131"/>
      <c r="E13" s="129"/>
      <c r="F13" s="14" t="s">
        <v>812</v>
      </c>
      <c r="G13" s="130"/>
      <c r="H13" s="130"/>
      <c r="I13" s="132">
        <v>13</v>
      </c>
      <c r="J13" s="133"/>
      <c r="K13" s="48">
        <v>2</v>
      </c>
      <c r="L13" s="48">
        <v>1</v>
      </c>
      <c r="M13" s="48">
        <v>0</v>
      </c>
      <c r="N13" s="48">
        <v>1</v>
      </c>
      <c r="O13" s="48">
        <v>0</v>
      </c>
      <c r="P13" s="49">
        <v>0</v>
      </c>
      <c r="Q13" s="49">
        <v>0</v>
      </c>
      <c r="R13" s="48">
        <v>1</v>
      </c>
      <c r="S13" s="48">
        <v>0</v>
      </c>
      <c r="T13" s="48">
        <v>2</v>
      </c>
      <c r="U13" s="48">
        <v>1</v>
      </c>
      <c r="V13" s="48">
        <v>1</v>
      </c>
      <c r="W13" s="49">
        <v>0.5</v>
      </c>
      <c r="X13" s="49">
        <v>0.5</v>
      </c>
      <c r="Y13" s="63"/>
      <c r="Z13" s="63"/>
      <c r="AA13" s="63"/>
      <c r="AB13" s="67" t="s">
        <v>691</v>
      </c>
      <c r="AC13" s="67" t="s">
        <v>691</v>
      </c>
      <c r="AD13" s="63" t="s">
        <v>945</v>
      </c>
      <c r="AE13" s="63"/>
      <c r="AF13" s="63" t="s">
        <v>1948</v>
      </c>
      <c r="AG13" s="134"/>
      <c r="AH13" s="106"/>
      <c r="AI13" s="105"/>
      <c r="AJ13" s="106"/>
      <c r="AK13" s="105"/>
      <c r="AL13" s="106"/>
      <c r="AM13" s="48">
        <v>2</v>
      </c>
      <c r="AN13" s="49">
        <v>100</v>
      </c>
      <c r="AO13" s="48">
        <v>2</v>
      </c>
      <c r="AP13" s="48">
        <v>0</v>
      </c>
      <c r="AQ13" s="49">
        <v>0</v>
      </c>
      <c r="AR13" s="48">
        <v>0</v>
      </c>
      <c r="AS13" s="49">
        <v>0</v>
      </c>
      <c r="AT13" s="48">
        <v>0</v>
      </c>
      <c r="AU13" s="49">
        <v>0</v>
      </c>
    </row>
    <row r="14" spans="1:47" ht="15">
      <c r="A14" s="117" t="s">
        <v>813</v>
      </c>
      <c r="B14" s="78" t="s">
        <v>825</v>
      </c>
      <c r="C14" s="78" t="s">
        <v>56</v>
      </c>
      <c r="D14" s="131"/>
      <c r="E14" s="129"/>
      <c r="F14" s="14" t="s">
        <v>2248</v>
      </c>
      <c r="G14" s="130"/>
      <c r="H14" s="130"/>
      <c r="I14" s="132">
        <v>14</v>
      </c>
      <c r="J14" s="133"/>
      <c r="K14" s="48">
        <v>2</v>
      </c>
      <c r="L14" s="48">
        <v>2</v>
      </c>
      <c r="M14" s="48">
        <v>0</v>
      </c>
      <c r="N14" s="48">
        <v>2</v>
      </c>
      <c r="O14" s="48">
        <v>1</v>
      </c>
      <c r="P14" s="49">
        <v>0</v>
      </c>
      <c r="Q14" s="49">
        <v>0</v>
      </c>
      <c r="R14" s="48">
        <v>1</v>
      </c>
      <c r="S14" s="48">
        <v>0</v>
      </c>
      <c r="T14" s="48">
        <v>2</v>
      </c>
      <c r="U14" s="48">
        <v>2</v>
      </c>
      <c r="V14" s="48">
        <v>1</v>
      </c>
      <c r="W14" s="49">
        <v>0.5</v>
      </c>
      <c r="X14" s="49">
        <v>0.5</v>
      </c>
      <c r="Y14" s="63"/>
      <c r="Z14" s="63"/>
      <c r="AA14" s="63"/>
      <c r="AB14" s="67" t="s">
        <v>1858</v>
      </c>
      <c r="AC14" s="67" t="s">
        <v>1925</v>
      </c>
      <c r="AD14" s="63"/>
      <c r="AE14" s="63" t="s">
        <v>938</v>
      </c>
      <c r="AF14" s="63" t="s">
        <v>1949</v>
      </c>
      <c r="AG14" s="134"/>
      <c r="AH14" s="106"/>
      <c r="AI14" s="105"/>
      <c r="AJ14" s="106"/>
      <c r="AK14" s="105"/>
      <c r="AL14" s="106"/>
      <c r="AM14" s="48">
        <v>9</v>
      </c>
      <c r="AN14" s="49">
        <v>90</v>
      </c>
      <c r="AO14" s="48">
        <v>10</v>
      </c>
      <c r="AP14" s="48">
        <v>0</v>
      </c>
      <c r="AQ14" s="49">
        <v>0</v>
      </c>
      <c r="AR14" s="48">
        <v>0</v>
      </c>
      <c r="AS14" s="49">
        <v>0</v>
      </c>
      <c r="AT14" s="48">
        <v>0</v>
      </c>
      <c r="AU14" s="49">
        <v>0</v>
      </c>
    </row>
    <row r="15" spans="1:47" ht="15">
      <c r="A15" s="117" t="s">
        <v>814</v>
      </c>
      <c r="B15" s="78" t="s">
        <v>694</v>
      </c>
      <c r="C15" s="78" t="s">
        <v>59</v>
      </c>
      <c r="D15" s="131"/>
      <c r="E15" s="129"/>
      <c r="F15" s="14" t="s">
        <v>2249</v>
      </c>
      <c r="G15" s="130"/>
      <c r="H15" s="130"/>
      <c r="I15" s="132">
        <v>15</v>
      </c>
      <c r="J15" s="133"/>
      <c r="K15" s="48">
        <v>2</v>
      </c>
      <c r="L15" s="48">
        <v>2</v>
      </c>
      <c r="M15" s="48">
        <v>0</v>
      </c>
      <c r="N15" s="48">
        <v>2</v>
      </c>
      <c r="O15" s="48">
        <v>1</v>
      </c>
      <c r="P15" s="49">
        <v>0</v>
      </c>
      <c r="Q15" s="49">
        <v>0</v>
      </c>
      <c r="R15" s="48">
        <v>1</v>
      </c>
      <c r="S15" s="48">
        <v>0</v>
      </c>
      <c r="T15" s="48">
        <v>2</v>
      </c>
      <c r="U15" s="48">
        <v>2</v>
      </c>
      <c r="V15" s="48">
        <v>1</v>
      </c>
      <c r="W15" s="49">
        <v>0.5</v>
      </c>
      <c r="X15" s="49">
        <v>0.5</v>
      </c>
      <c r="Y15" s="63" t="s">
        <v>1777</v>
      </c>
      <c r="Z15" s="63" t="s">
        <v>1781</v>
      </c>
      <c r="AA15" s="63"/>
      <c r="AB15" s="67" t="s">
        <v>1859</v>
      </c>
      <c r="AC15" s="67" t="s">
        <v>691</v>
      </c>
      <c r="AD15" s="63"/>
      <c r="AE15" s="63" t="s">
        <v>964</v>
      </c>
      <c r="AF15" s="63" t="s">
        <v>1950</v>
      </c>
      <c r="AG15" s="134"/>
      <c r="AH15" s="106"/>
      <c r="AI15" s="105"/>
      <c r="AJ15" s="106"/>
      <c r="AK15" s="105"/>
      <c r="AL15" s="106"/>
      <c r="AM15" s="48">
        <v>28</v>
      </c>
      <c r="AN15" s="49">
        <v>57.142857142857146</v>
      </c>
      <c r="AO15" s="48">
        <v>49</v>
      </c>
      <c r="AP15" s="48">
        <v>0</v>
      </c>
      <c r="AQ15" s="49">
        <v>0</v>
      </c>
      <c r="AR15" s="48">
        <v>0</v>
      </c>
      <c r="AS15" s="49">
        <v>0</v>
      </c>
      <c r="AT15" s="48">
        <v>0</v>
      </c>
      <c r="AU15" s="49">
        <v>0</v>
      </c>
    </row>
    <row r="16" spans="1:47" ht="15">
      <c r="A16" s="117" t="s">
        <v>815</v>
      </c>
      <c r="B16" s="78" t="s">
        <v>695</v>
      </c>
      <c r="C16" s="78" t="s">
        <v>59</v>
      </c>
      <c r="D16" s="118"/>
      <c r="E16" s="119"/>
      <c r="F16" s="120" t="s">
        <v>815</v>
      </c>
      <c r="G16" s="121"/>
      <c r="H16" s="121"/>
      <c r="I16" s="122">
        <v>16</v>
      </c>
      <c r="J16" s="123"/>
      <c r="K16" s="48">
        <v>2</v>
      </c>
      <c r="L16" s="48">
        <v>2</v>
      </c>
      <c r="M16" s="48">
        <v>0</v>
      </c>
      <c r="N16" s="48">
        <v>2</v>
      </c>
      <c r="O16" s="48">
        <v>2</v>
      </c>
      <c r="P16" s="49" t="s">
        <v>826</v>
      </c>
      <c r="Q16" s="49" t="s">
        <v>826</v>
      </c>
      <c r="R16" s="48">
        <v>2</v>
      </c>
      <c r="S16" s="48">
        <v>2</v>
      </c>
      <c r="T16" s="48">
        <v>1</v>
      </c>
      <c r="U16" s="48">
        <v>1</v>
      </c>
      <c r="V16" s="48">
        <v>0</v>
      </c>
      <c r="W16" s="49">
        <v>0</v>
      </c>
      <c r="X16" s="49">
        <v>0</v>
      </c>
      <c r="Y16" s="63" t="s">
        <v>1778</v>
      </c>
      <c r="Z16" s="63" t="s">
        <v>1086</v>
      </c>
      <c r="AA16" s="63" t="s">
        <v>1068</v>
      </c>
      <c r="AB16" s="67" t="s">
        <v>691</v>
      </c>
      <c r="AC16" s="67" t="s">
        <v>691</v>
      </c>
      <c r="AD16" s="63"/>
      <c r="AE16" s="63"/>
      <c r="AF16" s="63" t="s">
        <v>1951</v>
      </c>
      <c r="AG16" s="124"/>
      <c r="AH16" s="109"/>
      <c r="AI16" s="108"/>
      <c r="AJ16" s="109"/>
      <c r="AK16" s="108"/>
      <c r="AL16" s="109"/>
      <c r="AM16" s="48">
        <v>4</v>
      </c>
      <c r="AN16" s="49">
        <v>50</v>
      </c>
      <c r="AO16" s="48">
        <v>8</v>
      </c>
      <c r="AP16" s="48">
        <v>0</v>
      </c>
      <c r="AQ16" s="49">
        <v>0</v>
      </c>
      <c r="AR16" s="48">
        <v>0</v>
      </c>
      <c r="AS16" s="49">
        <v>0</v>
      </c>
      <c r="AT16" s="48">
        <v>0</v>
      </c>
      <c r="AU16" s="49">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63" t="s">
        <v>692</v>
      </c>
      <c r="B2" s="67" t="s">
        <v>935</v>
      </c>
      <c r="C2" s="63">
        <f>VLOOKUP(GroupVertices[[#This Row],[Vertex]],Vertices[],MATCH("ID",Vertices[[#Headers],[Vertex]:[Withheld]],0),FALSE)</f>
        <v>61</v>
      </c>
    </row>
    <row r="3" spans="1:3" ht="15">
      <c r="A3" s="64" t="s">
        <v>692</v>
      </c>
      <c r="B3" s="67" t="s">
        <v>934</v>
      </c>
      <c r="C3" s="63">
        <f>VLOOKUP(GroupVertices[[#This Row],[Vertex]],Vertices[],MATCH("ID",Vertices[[#Headers],[Vertex]:[Withheld]],0),FALSE)</f>
        <v>59</v>
      </c>
    </row>
    <row r="4" spans="1:3" ht="15">
      <c r="A4" s="64" t="s">
        <v>692</v>
      </c>
      <c r="B4" s="67" t="s">
        <v>923</v>
      </c>
      <c r="C4" s="63">
        <f>VLOOKUP(GroupVertices[[#This Row],[Vertex]],Vertices[],MATCH("ID",Vertices[[#Headers],[Vertex]:[Withheld]],0),FALSE)</f>
        <v>49</v>
      </c>
    </row>
    <row r="5" spans="1:3" ht="15">
      <c r="A5" s="64" t="s">
        <v>692</v>
      </c>
      <c r="B5" s="67" t="s">
        <v>931</v>
      </c>
      <c r="C5" s="63">
        <f>VLOOKUP(GroupVertices[[#This Row],[Vertex]],Vertices[],MATCH("ID",Vertices[[#Headers],[Vertex]:[Withheld]],0),FALSE)</f>
        <v>58</v>
      </c>
    </row>
    <row r="6" spans="1:3" ht="15">
      <c r="A6" s="64" t="s">
        <v>692</v>
      </c>
      <c r="B6" s="67" t="s">
        <v>929</v>
      </c>
      <c r="C6" s="63">
        <f>VLOOKUP(GroupVertices[[#This Row],[Vertex]],Vertices[],MATCH("ID",Vertices[[#Headers],[Vertex]:[Withheld]],0),FALSE)</f>
        <v>57</v>
      </c>
    </row>
    <row r="7" spans="1:3" ht="15">
      <c r="A7" s="64" t="s">
        <v>692</v>
      </c>
      <c r="B7" s="67" t="s">
        <v>958</v>
      </c>
      <c r="C7" s="63">
        <f>VLOOKUP(GroupVertices[[#This Row],[Vertex]],Vertices[],MATCH("ID",Vertices[[#Headers],[Vertex]:[Withheld]],0),FALSE)</f>
        <v>56</v>
      </c>
    </row>
    <row r="8" spans="1:3" ht="15">
      <c r="A8" s="64" t="s">
        <v>692</v>
      </c>
      <c r="B8" s="67" t="s">
        <v>928</v>
      </c>
      <c r="C8" s="63">
        <f>VLOOKUP(GroupVertices[[#This Row],[Vertex]],Vertices[],MATCH("ID",Vertices[[#Headers],[Vertex]:[Withheld]],0),FALSE)</f>
        <v>55</v>
      </c>
    </row>
    <row r="9" spans="1:3" ht="15">
      <c r="A9" s="64" t="s">
        <v>692</v>
      </c>
      <c r="B9" s="67" t="s">
        <v>957</v>
      </c>
      <c r="C9" s="63">
        <f>VLOOKUP(GroupVertices[[#This Row],[Vertex]],Vertices[],MATCH("ID",Vertices[[#Headers],[Vertex]:[Withheld]],0),FALSE)</f>
        <v>54</v>
      </c>
    </row>
    <row r="10" spans="1:3" ht="15">
      <c r="A10" s="64" t="s">
        <v>692</v>
      </c>
      <c r="B10" s="67" t="s">
        <v>927</v>
      </c>
      <c r="C10" s="63">
        <f>VLOOKUP(GroupVertices[[#This Row],[Vertex]],Vertices[],MATCH("ID",Vertices[[#Headers],[Vertex]:[Withheld]],0),FALSE)</f>
        <v>53</v>
      </c>
    </row>
    <row r="11" spans="1:3" ht="15">
      <c r="A11" s="64" t="s">
        <v>692</v>
      </c>
      <c r="B11" s="67" t="s">
        <v>926</v>
      </c>
      <c r="C11" s="63">
        <f>VLOOKUP(GroupVertices[[#This Row],[Vertex]],Vertices[],MATCH("ID",Vertices[[#Headers],[Vertex]:[Withheld]],0),FALSE)</f>
        <v>52</v>
      </c>
    </row>
    <row r="12" spans="1:3" ht="15">
      <c r="A12" s="64" t="s">
        <v>692</v>
      </c>
      <c r="B12" s="67" t="s">
        <v>925</v>
      </c>
      <c r="C12" s="63">
        <f>VLOOKUP(GroupVertices[[#This Row],[Vertex]],Vertices[],MATCH("ID",Vertices[[#Headers],[Vertex]:[Withheld]],0),FALSE)</f>
        <v>51</v>
      </c>
    </row>
    <row r="13" spans="1:3" ht="15">
      <c r="A13" s="64" t="s">
        <v>692</v>
      </c>
      <c r="B13" s="67" t="s">
        <v>924</v>
      </c>
      <c r="C13" s="63">
        <f>VLOOKUP(GroupVertices[[#This Row],[Vertex]],Vertices[],MATCH("ID",Vertices[[#Headers],[Vertex]:[Withheld]],0),FALSE)</f>
        <v>50</v>
      </c>
    </row>
    <row r="14" spans="1:3" ht="15">
      <c r="A14" s="64" t="s">
        <v>692</v>
      </c>
      <c r="B14" s="67" t="s">
        <v>922</v>
      </c>
      <c r="C14" s="63">
        <f>VLOOKUP(GroupVertices[[#This Row],[Vertex]],Vertices[],MATCH("ID",Vertices[[#Headers],[Vertex]:[Withheld]],0),FALSE)</f>
        <v>48</v>
      </c>
    </row>
    <row r="15" spans="1:3" ht="15">
      <c r="A15" s="64" t="s">
        <v>693</v>
      </c>
      <c r="B15" s="67" t="s">
        <v>333</v>
      </c>
      <c r="C15" s="63">
        <f>VLOOKUP(GroupVertices[[#This Row],[Vertex]],Vertices[],MATCH("ID",Vertices[[#Headers],[Vertex]:[Withheld]],0),FALSE)</f>
        <v>12</v>
      </c>
    </row>
    <row r="16" spans="1:3" ht="15">
      <c r="A16" s="64" t="s">
        <v>693</v>
      </c>
      <c r="B16" s="67" t="s">
        <v>963</v>
      </c>
      <c r="C16" s="63">
        <f>VLOOKUP(GroupVertices[[#This Row],[Vertex]],Vertices[],MATCH("ID",Vertices[[#Headers],[Vertex]:[Withheld]],0),FALSE)</f>
        <v>67</v>
      </c>
    </row>
    <row r="17" spans="1:3" ht="15">
      <c r="A17" s="64" t="s">
        <v>693</v>
      </c>
      <c r="B17" s="67" t="s">
        <v>962</v>
      </c>
      <c r="C17" s="63">
        <f>VLOOKUP(GroupVertices[[#This Row],[Vertex]],Vertices[],MATCH("ID",Vertices[[#Headers],[Vertex]:[Withheld]],0),FALSE)</f>
        <v>66</v>
      </c>
    </row>
    <row r="18" spans="1:3" ht="15">
      <c r="A18" s="64" t="s">
        <v>693</v>
      </c>
      <c r="B18" s="67" t="s">
        <v>961</v>
      </c>
      <c r="C18" s="63">
        <f>VLOOKUP(GroupVertices[[#This Row],[Vertex]],Vertices[],MATCH("ID",Vertices[[#Headers],[Vertex]:[Withheld]],0),FALSE)</f>
        <v>65</v>
      </c>
    </row>
    <row r="19" spans="1:3" ht="15">
      <c r="A19" s="64" t="s">
        <v>693</v>
      </c>
      <c r="B19" s="67" t="s">
        <v>960</v>
      </c>
      <c r="C19" s="63">
        <f>VLOOKUP(GroupVertices[[#This Row],[Vertex]],Vertices[],MATCH("ID",Vertices[[#Headers],[Vertex]:[Withheld]],0),FALSE)</f>
        <v>64</v>
      </c>
    </row>
    <row r="20" spans="1:3" ht="15">
      <c r="A20" s="64" t="s">
        <v>693</v>
      </c>
      <c r="B20" s="67" t="s">
        <v>959</v>
      </c>
      <c r="C20" s="63">
        <f>VLOOKUP(GroupVertices[[#This Row],[Vertex]],Vertices[],MATCH("ID",Vertices[[#Headers],[Vertex]:[Withheld]],0),FALSE)</f>
        <v>63</v>
      </c>
    </row>
    <row r="21" spans="1:3" ht="15">
      <c r="A21" s="64" t="s">
        <v>693</v>
      </c>
      <c r="B21" s="67" t="s">
        <v>915</v>
      </c>
      <c r="C21" s="63">
        <f>VLOOKUP(GroupVertices[[#This Row],[Vertex]],Vertices[],MATCH("ID",Vertices[[#Headers],[Vertex]:[Withheld]],0),FALSE)</f>
        <v>35</v>
      </c>
    </row>
    <row r="22" spans="1:3" ht="15">
      <c r="A22" s="64" t="s">
        <v>693</v>
      </c>
      <c r="B22" s="67" t="s">
        <v>954</v>
      </c>
      <c r="C22" s="63">
        <f>VLOOKUP(GroupVertices[[#This Row],[Vertex]],Vertices[],MATCH("ID",Vertices[[#Headers],[Vertex]:[Withheld]],0),FALSE)</f>
        <v>36</v>
      </c>
    </row>
    <row r="23" spans="1:3" ht="15">
      <c r="A23" s="64" t="s">
        <v>804</v>
      </c>
      <c r="B23" s="67" t="s">
        <v>933</v>
      </c>
      <c r="C23" s="63">
        <f>VLOOKUP(GroupVertices[[#This Row],[Vertex]],Vertices[],MATCH("ID",Vertices[[#Headers],[Vertex]:[Withheld]],0),FALSE)</f>
        <v>46</v>
      </c>
    </row>
    <row r="24" spans="1:3" ht="15">
      <c r="A24" s="64" t="s">
        <v>804</v>
      </c>
      <c r="B24" s="67" t="s">
        <v>932</v>
      </c>
      <c r="C24" s="63">
        <f>VLOOKUP(GroupVertices[[#This Row],[Vertex]],Vertices[],MATCH("ID",Vertices[[#Headers],[Vertex]:[Withheld]],0),FALSE)</f>
        <v>60</v>
      </c>
    </row>
    <row r="25" spans="1:3" ht="15">
      <c r="A25" s="64" t="s">
        <v>804</v>
      </c>
      <c r="B25" s="67" t="s">
        <v>930</v>
      </c>
      <c r="C25" s="63">
        <f>VLOOKUP(GroupVertices[[#This Row],[Vertex]],Vertices[],MATCH("ID",Vertices[[#Headers],[Vertex]:[Withheld]],0),FALSE)</f>
        <v>47</v>
      </c>
    </row>
    <row r="26" spans="1:3" ht="15">
      <c r="A26" s="64" t="s">
        <v>804</v>
      </c>
      <c r="B26" s="67" t="s">
        <v>921</v>
      </c>
      <c r="C26" s="63">
        <f>VLOOKUP(GroupVertices[[#This Row],[Vertex]],Vertices[],MATCH("ID",Vertices[[#Headers],[Vertex]:[Withheld]],0),FALSE)</f>
        <v>45</v>
      </c>
    </row>
    <row r="27" spans="1:3" ht="15">
      <c r="A27" s="64" t="s">
        <v>804</v>
      </c>
      <c r="B27" s="67" t="s">
        <v>910</v>
      </c>
      <c r="C27" s="63">
        <f>VLOOKUP(GroupVertices[[#This Row],[Vertex]],Vertices[],MATCH("ID",Vertices[[#Headers],[Vertex]:[Withheld]],0),FALSE)</f>
        <v>27</v>
      </c>
    </row>
    <row r="28" spans="1:3" ht="15">
      <c r="A28" s="64" t="s">
        <v>804</v>
      </c>
      <c r="B28" s="67" t="s">
        <v>920</v>
      </c>
      <c r="C28" s="63">
        <f>VLOOKUP(GroupVertices[[#This Row],[Vertex]],Vertices[],MATCH("ID",Vertices[[#Headers],[Vertex]:[Withheld]],0),FALSE)</f>
        <v>44</v>
      </c>
    </row>
    <row r="29" spans="1:3" ht="15">
      <c r="A29" s="64" t="s">
        <v>804</v>
      </c>
      <c r="B29" s="67" t="s">
        <v>909</v>
      </c>
      <c r="C29" s="63">
        <f>VLOOKUP(GroupVertices[[#This Row],[Vertex]],Vertices[],MATCH("ID",Vertices[[#Headers],[Vertex]:[Withheld]],0),FALSE)</f>
        <v>26</v>
      </c>
    </row>
    <row r="30" spans="1:3" ht="15">
      <c r="A30" s="64" t="s">
        <v>805</v>
      </c>
      <c r="B30" s="67" t="s">
        <v>937</v>
      </c>
      <c r="C30" s="63">
        <f>VLOOKUP(GroupVertices[[#This Row],[Vertex]],Vertices[],MATCH("ID",Vertices[[#Headers],[Vertex]:[Withheld]],0),FALSE)</f>
        <v>34</v>
      </c>
    </row>
    <row r="31" spans="1:3" ht="15">
      <c r="A31" s="64" t="s">
        <v>805</v>
      </c>
      <c r="B31" s="67" t="s">
        <v>912</v>
      </c>
      <c r="C31" s="63">
        <f>VLOOKUP(GroupVertices[[#This Row],[Vertex]],Vertices[],MATCH("ID",Vertices[[#Headers],[Vertex]:[Withheld]],0),FALSE)</f>
        <v>29</v>
      </c>
    </row>
    <row r="32" spans="1:3" ht="15">
      <c r="A32" s="64" t="s">
        <v>805</v>
      </c>
      <c r="B32" s="67" t="s">
        <v>914</v>
      </c>
      <c r="C32" s="63">
        <f>VLOOKUP(GroupVertices[[#This Row],[Vertex]],Vertices[],MATCH("ID",Vertices[[#Headers],[Vertex]:[Withheld]],0),FALSE)</f>
        <v>33</v>
      </c>
    </row>
    <row r="33" spans="1:3" ht="15">
      <c r="A33" s="64" t="s">
        <v>805</v>
      </c>
      <c r="B33" s="67" t="s">
        <v>953</v>
      </c>
      <c r="C33" s="63">
        <f>VLOOKUP(GroupVertices[[#This Row],[Vertex]],Vertices[],MATCH("ID",Vertices[[#Headers],[Vertex]:[Withheld]],0),FALSE)</f>
        <v>32</v>
      </c>
    </row>
    <row r="34" spans="1:3" ht="15">
      <c r="A34" s="64" t="s">
        <v>805</v>
      </c>
      <c r="B34" s="67" t="s">
        <v>913</v>
      </c>
      <c r="C34" s="63">
        <f>VLOOKUP(GroupVertices[[#This Row],[Vertex]],Vertices[],MATCH("ID",Vertices[[#Headers],[Vertex]:[Withheld]],0),FALSE)</f>
        <v>31</v>
      </c>
    </row>
    <row r="35" spans="1:3" ht="15">
      <c r="A35" s="64" t="s">
        <v>805</v>
      </c>
      <c r="B35" s="67" t="s">
        <v>952</v>
      </c>
      <c r="C35" s="63">
        <f>VLOOKUP(GroupVertices[[#This Row],[Vertex]],Vertices[],MATCH("ID",Vertices[[#Headers],[Vertex]:[Withheld]],0),FALSE)</f>
        <v>30</v>
      </c>
    </row>
    <row r="36" spans="1:3" ht="15">
      <c r="A36" s="64" t="s">
        <v>806</v>
      </c>
      <c r="B36" s="67" t="s">
        <v>906</v>
      </c>
      <c r="C36" s="63">
        <f>VLOOKUP(GroupVertices[[#This Row],[Vertex]],Vertices[],MATCH("ID",Vertices[[#Headers],[Vertex]:[Withheld]],0),FALSE)</f>
        <v>17</v>
      </c>
    </row>
    <row r="37" spans="1:3" ht="15">
      <c r="A37" s="64" t="s">
        <v>806</v>
      </c>
      <c r="B37" s="67" t="s">
        <v>950</v>
      </c>
      <c r="C37" s="63">
        <f>VLOOKUP(GroupVertices[[#This Row],[Vertex]],Vertices[],MATCH("ID",Vertices[[#Headers],[Vertex]:[Withheld]],0),FALSE)</f>
        <v>22</v>
      </c>
    </row>
    <row r="38" spans="1:3" ht="15">
      <c r="A38" s="64" t="s">
        <v>806</v>
      </c>
      <c r="B38" s="67" t="s">
        <v>949</v>
      </c>
      <c r="C38" s="63">
        <f>VLOOKUP(GroupVertices[[#This Row],[Vertex]],Vertices[],MATCH("ID",Vertices[[#Headers],[Vertex]:[Withheld]],0),FALSE)</f>
        <v>21</v>
      </c>
    </row>
    <row r="39" spans="1:3" ht="15">
      <c r="A39" s="64" t="s">
        <v>806</v>
      </c>
      <c r="B39" s="67" t="s">
        <v>948</v>
      </c>
      <c r="C39" s="63">
        <f>VLOOKUP(GroupVertices[[#This Row],[Vertex]],Vertices[],MATCH("ID",Vertices[[#Headers],[Vertex]:[Withheld]],0),FALSE)</f>
        <v>20</v>
      </c>
    </row>
    <row r="40" spans="1:3" ht="15">
      <c r="A40" s="64" t="s">
        <v>806</v>
      </c>
      <c r="B40" s="67" t="s">
        <v>947</v>
      </c>
      <c r="C40" s="63">
        <f>VLOOKUP(GroupVertices[[#This Row],[Vertex]],Vertices[],MATCH("ID",Vertices[[#Headers],[Vertex]:[Withheld]],0),FALSE)</f>
        <v>19</v>
      </c>
    </row>
    <row r="41" spans="1:3" ht="15">
      <c r="A41" s="64" t="s">
        <v>806</v>
      </c>
      <c r="B41" s="67" t="s">
        <v>946</v>
      </c>
      <c r="C41" s="63">
        <f>VLOOKUP(GroupVertices[[#This Row],[Vertex]],Vertices[],MATCH("ID",Vertices[[#Headers],[Vertex]:[Withheld]],0),FALSE)</f>
        <v>18</v>
      </c>
    </row>
    <row r="42" spans="1:3" ht="15">
      <c r="A42" s="64" t="s">
        <v>807</v>
      </c>
      <c r="B42" s="67" t="s">
        <v>903</v>
      </c>
      <c r="C42" s="63">
        <f>VLOOKUP(GroupVertices[[#This Row],[Vertex]],Vertices[],MATCH("ID",Vertices[[#Headers],[Vertex]:[Withheld]],0),FALSE)</f>
        <v>7</v>
      </c>
    </row>
    <row r="43" spans="1:3" ht="15">
      <c r="A43" s="64" t="s">
        <v>807</v>
      </c>
      <c r="B43" s="67" t="s">
        <v>943</v>
      </c>
      <c r="C43" s="63">
        <f>VLOOKUP(GroupVertices[[#This Row],[Vertex]],Vertices[],MATCH("ID",Vertices[[#Headers],[Vertex]:[Withheld]],0),FALSE)</f>
        <v>11</v>
      </c>
    </row>
    <row r="44" spans="1:3" ht="15">
      <c r="A44" s="64" t="s">
        <v>807</v>
      </c>
      <c r="B44" s="67" t="s">
        <v>942</v>
      </c>
      <c r="C44" s="63">
        <f>VLOOKUP(GroupVertices[[#This Row],[Vertex]],Vertices[],MATCH("ID",Vertices[[#Headers],[Vertex]:[Withheld]],0),FALSE)</f>
        <v>10</v>
      </c>
    </row>
    <row r="45" spans="1:3" ht="15">
      <c r="A45" s="64" t="s">
        <v>807</v>
      </c>
      <c r="B45" s="67" t="s">
        <v>941</v>
      </c>
      <c r="C45" s="63">
        <f>VLOOKUP(GroupVertices[[#This Row],[Vertex]],Vertices[],MATCH("ID",Vertices[[#Headers],[Vertex]:[Withheld]],0),FALSE)</f>
        <v>9</v>
      </c>
    </row>
    <row r="46" spans="1:3" ht="15">
      <c r="A46" s="64" t="s">
        <v>807</v>
      </c>
      <c r="B46" s="67" t="s">
        <v>940</v>
      </c>
      <c r="C46" s="63">
        <f>VLOOKUP(GroupVertices[[#This Row],[Vertex]],Vertices[],MATCH("ID",Vertices[[#Headers],[Vertex]:[Withheld]],0),FALSE)</f>
        <v>8</v>
      </c>
    </row>
    <row r="47" spans="1:3" ht="15">
      <c r="A47" s="64" t="s">
        <v>808</v>
      </c>
      <c r="B47" s="67" t="s">
        <v>939</v>
      </c>
      <c r="C47" s="63">
        <f>VLOOKUP(GroupVertices[[#This Row],[Vertex]],Vertices[],MATCH("ID",Vertices[[#Headers],[Vertex]:[Withheld]],0),FALSE)</f>
        <v>43</v>
      </c>
    </row>
    <row r="48" spans="1:3" ht="15">
      <c r="A48" s="64" t="s">
        <v>808</v>
      </c>
      <c r="B48" s="67" t="s">
        <v>918</v>
      </c>
      <c r="C48" s="63">
        <f>VLOOKUP(GroupVertices[[#This Row],[Vertex]],Vertices[],MATCH("ID",Vertices[[#Headers],[Vertex]:[Withheld]],0),FALSE)</f>
        <v>41</v>
      </c>
    </row>
    <row r="49" spans="1:3" ht="15">
      <c r="A49" s="64" t="s">
        <v>808</v>
      </c>
      <c r="B49" s="67" t="s">
        <v>919</v>
      </c>
      <c r="C49" s="63">
        <f>VLOOKUP(GroupVertices[[#This Row],[Vertex]],Vertices[],MATCH("ID",Vertices[[#Headers],[Vertex]:[Withheld]],0),FALSE)</f>
        <v>42</v>
      </c>
    </row>
    <row r="50" spans="1:3" ht="15">
      <c r="A50" s="64" t="s">
        <v>808</v>
      </c>
      <c r="B50" s="67" t="s">
        <v>917</v>
      </c>
      <c r="C50" s="63">
        <f>VLOOKUP(GroupVertices[[#This Row],[Vertex]],Vertices[],MATCH("ID",Vertices[[#Headers],[Vertex]:[Withheld]],0),FALSE)</f>
        <v>40</v>
      </c>
    </row>
    <row r="51" spans="1:3" ht="15">
      <c r="A51" s="64" t="s">
        <v>809</v>
      </c>
      <c r="B51" s="67" t="s">
        <v>936</v>
      </c>
      <c r="C51" s="63">
        <f>VLOOKUP(GroupVertices[[#This Row],[Vertex]],Vertices[],MATCH("ID",Vertices[[#Headers],[Vertex]:[Withheld]],0),FALSE)</f>
        <v>62</v>
      </c>
    </row>
    <row r="52" spans="1:3" ht="15">
      <c r="A52" s="64" t="s">
        <v>809</v>
      </c>
      <c r="B52" s="67" t="s">
        <v>904</v>
      </c>
      <c r="C52" s="63">
        <f>VLOOKUP(GroupVertices[[#This Row],[Vertex]],Vertices[],MATCH("ID",Vertices[[#Headers],[Vertex]:[Withheld]],0),FALSE)</f>
        <v>13</v>
      </c>
    </row>
    <row r="53" spans="1:3" ht="15">
      <c r="A53" s="64" t="s">
        <v>809</v>
      </c>
      <c r="B53" s="67" t="s">
        <v>944</v>
      </c>
      <c r="C53" s="63">
        <f>VLOOKUP(GroupVertices[[#This Row],[Vertex]],Vertices[],MATCH("ID",Vertices[[#Headers],[Vertex]:[Withheld]],0),FALSE)</f>
        <v>14</v>
      </c>
    </row>
    <row r="54" spans="1:3" ht="15">
      <c r="A54" s="64" t="s">
        <v>810</v>
      </c>
      <c r="B54" s="67" t="s">
        <v>916</v>
      </c>
      <c r="C54" s="63">
        <f>VLOOKUP(GroupVertices[[#This Row],[Vertex]],Vertices[],MATCH("ID",Vertices[[#Headers],[Vertex]:[Withheld]],0),FALSE)</f>
        <v>37</v>
      </c>
    </row>
    <row r="55" spans="1:3" ht="15">
      <c r="A55" s="64" t="s">
        <v>810</v>
      </c>
      <c r="B55" s="67" t="s">
        <v>956</v>
      </c>
      <c r="C55" s="63">
        <f>VLOOKUP(GroupVertices[[#This Row],[Vertex]],Vertices[],MATCH("ID",Vertices[[#Headers],[Vertex]:[Withheld]],0),FALSE)</f>
        <v>39</v>
      </c>
    </row>
    <row r="56" spans="1:3" ht="15">
      <c r="A56" s="64" t="s">
        <v>810</v>
      </c>
      <c r="B56" s="67" t="s">
        <v>955</v>
      </c>
      <c r="C56" s="63">
        <f>VLOOKUP(GroupVertices[[#This Row],[Vertex]],Vertices[],MATCH("ID",Vertices[[#Headers],[Vertex]:[Withheld]],0),FALSE)</f>
        <v>38</v>
      </c>
    </row>
    <row r="57" spans="1:3" ht="15">
      <c r="A57" s="64" t="s">
        <v>811</v>
      </c>
      <c r="B57" s="67" t="s">
        <v>908</v>
      </c>
      <c r="C57" s="63">
        <f>VLOOKUP(GroupVertices[[#This Row],[Vertex]],Vertices[],MATCH("ID",Vertices[[#Headers],[Vertex]:[Withheld]],0),FALSE)</f>
        <v>24</v>
      </c>
    </row>
    <row r="58" spans="1:3" ht="15">
      <c r="A58" s="64" t="s">
        <v>811</v>
      </c>
      <c r="B58" s="67" t="s">
        <v>951</v>
      </c>
      <c r="C58" s="63">
        <f>VLOOKUP(GroupVertices[[#This Row],[Vertex]],Vertices[],MATCH("ID",Vertices[[#Headers],[Vertex]:[Withheld]],0),FALSE)</f>
        <v>25</v>
      </c>
    </row>
    <row r="59" spans="1:3" ht="15">
      <c r="A59" s="64" t="s">
        <v>812</v>
      </c>
      <c r="B59" s="67" t="s">
        <v>905</v>
      </c>
      <c r="C59" s="63">
        <f>VLOOKUP(GroupVertices[[#This Row],[Vertex]],Vertices[],MATCH("ID",Vertices[[#Headers],[Vertex]:[Withheld]],0),FALSE)</f>
        <v>15</v>
      </c>
    </row>
    <row r="60" spans="1:3" ht="15">
      <c r="A60" s="64" t="s">
        <v>812</v>
      </c>
      <c r="B60" s="67" t="s">
        <v>945</v>
      </c>
      <c r="C60" s="63">
        <f>VLOOKUP(GroupVertices[[#This Row],[Vertex]],Vertices[],MATCH("ID",Vertices[[#Headers],[Vertex]:[Withheld]],0),FALSE)</f>
        <v>16</v>
      </c>
    </row>
    <row r="61" spans="1:3" ht="15">
      <c r="A61" s="64" t="s">
        <v>813</v>
      </c>
      <c r="B61" s="67" t="s">
        <v>938</v>
      </c>
      <c r="C61" s="63">
        <f>VLOOKUP(GroupVertices[[#This Row],[Vertex]],Vertices[],MATCH("ID",Vertices[[#Headers],[Vertex]:[Withheld]],0),FALSE)</f>
        <v>6</v>
      </c>
    </row>
    <row r="62" spans="1:3" ht="15">
      <c r="A62" s="64" t="s">
        <v>813</v>
      </c>
      <c r="B62" s="67" t="s">
        <v>902</v>
      </c>
      <c r="C62" s="63">
        <f>VLOOKUP(GroupVertices[[#This Row],[Vertex]],Vertices[],MATCH("ID",Vertices[[#Headers],[Vertex]:[Withheld]],0),FALSE)</f>
        <v>5</v>
      </c>
    </row>
    <row r="63" spans="1:3" ht="15">
      <c r="A63" s="64" t="s">
        <v>814</v>
      </c>
      <c r="B63" s="67" t="s">
        <v>901</v>
      </c>
      <c r="C63" s="63">
        <f>VLOOKUP(GroupVertices[[#This Row],[Vertex]],Vertices[],MATCH("ID",Vertices[[#Headers],[Vertex]:[Withheld]],0),FALSE)</f>
        <v>3</v>
      </c>
    </row>
    <row r="64" spans="1:3" ht="15">
      <c r="A64" s="64" t="s">
        <v>814</v>
      </c>
      <c r="B64" s="67" t="s">
        <v>964</v>
      </c>
      <c r="C64" s="63">
        <f>VLOOKUP(GroupVertices[[#This Row],[Vertex]],Vertices[],MATCH("ID",Vertices[[#Headers],[Vertex]:[Withheld]],0),FALSE)</f>
        <v>4</v>
      </c>
    </row>
    <row r="65" spans="1:3" ht="15">
      <c r="A65" s="64" t="s">
        <v>815</v>
      </c>
      <c r="B65" s="67" t="s">
        <v>907</v>
      </c>
      <c r="C65" s="63">
        <f>VLOOKUP(GroupVertices[[#This Row],[Vertex]],Vertices[],MATCH("ID",Vertices[[#Headers],[Vertex]:[Withheld]],0),FALSE)</f>
        <v>23</v>
      </c>
    </row>
    <row r="66" spans="1:3" ht="15">
      <c r="A66" s="64" t="s">
        <v>815</v>
      </c>
      <c r="B66" s="67" t="s">
        <v>911</v>
      </c>
      <c r="C66" s="63">
        <f>VLOOKUP(GroupVertices[[#This Row],[Vertex]],Vertices[],MATCH("ID",Vertices[[#Headers],[Vertex]:[Withheld]],0),FALSE)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85</v>
      </c>
      <c r="G1" s="36" t="s">
        <v>86</v>
      </c>
      <c r="H1" s="35" t="s">
        <v>91</v>
      </c>
      <c r="I1" s="36" t="s">
        <v>92</v>
      </c>
      <c r="J1" s="35" t="s">
        <v>97</v>
      </c>
      <c r="K1" s="36" t="s">
        <v>98</v>
      </c>
      <c r="L1" s="35" t="s">
        <v>103</v>
      </c>
      <c r="M1" s="36" t="s">
        <v>104</v>
      </c>
      <c r="N1" s="35" t="s">
        <v>109</v>
      </c>
      <c r="O1" s="36" t="s">
        <v>110</v>
      </c>
      <c r="P1" s="36" t="s">
        <v>137</v>
      </c>
      <c r="Q1" s="36" t="s">
        <v>138</v>
      </c>
      <c r="R1" s="35" t="s">
        <v>115</v>
      </c>
      <c r="S1" s="35" t="s">
        <v>116</v>
      </c>
      <c r="T1" s="35" t="s">
        <v>121</v>
      </c>
      <c r="U1" s="36" t="s">
        <v>122</v>
      </c>
      <c r="W1" t="s">
        <v>126</v>
      </c>
      <c r="X1" t="s">
        <v>17</v>
      </c>
    </row>
    <row r="2" spans="1:24" ht="15.75" thickTop="1">
      <c r="A2" s="34" t="s">
        <v>216</v>
      </c>
      <c r="B2" s="34" t="s">
        <v>178</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54</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52</v>
      </c>
      <c r="P2" s="37">
        <f>MIN(Vertices[PageRank])</f>
        <v>0.013445</v>
      </c>
      <c r="Q2" s="38">
        <f>COUNTIF(Vertices[PageRank],"&gt;= "&amp;P2)-COUNTIF(Vertices[PageRank],"&gt;="&amp;P3)</f>
        <v>13</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123</v>
      </c>
      <c r="X2">
        <f>ROWS(HistogramBins[Degree Bin])-1</f>
        <v>43</v>
      </c>
    </row>
    <row r="3" spans="1:24" ht="15">
      <c r="A3" s="102"/>
      <c r="B3" s="102"/>
      <c r="D3" s="32">
        <f aca="true" t="shared" si="1" ref="D3:D44">D2+($D$45-$D$2)/BinDivisor</f>
        <v>0</v>
      </c>
      <c r="E3" s="3">
        <f>COUNTIF(Vertices[Degree],"&gt;= "&amp;D3)-COUNTIF(Vertices[Degree],"&gt;="&amp;D4)</f>
        <v>0</v>
      </c>
      <c r="F3" s="39">
        <f aca="true" t="shared" si="2" ref="F3:F44">F2+($F$45-$F$2)/BinDivisor</f>
        <v>0.06976744186046512</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3.0232558139534884</v>
      </c>
      <c r="K3" s="40">
        <f>COUNTIF(Vertices[Betweenness Centrality],"&gt;= "&amp;J3)-COUNTIF(Vertices[Betweenness Centrality],"&gt;="&amp;J4)</f>
        <v>1</v>
      </c>
      <c r="L3" s="39">
        <f aca="true" t="shared" si="5" ref="L3:L44">L2+($L$45-$L$2)/BinDivisor</f>
        <v>0.004025046511627908</v>
      </c>
      <c r="M3" s="40">
        <f>COUNTIF(Vertices[Closeness Centrality],"&gt;= "&amp;L3)-COUNTIF(Vertices[Closeness Centrality],"&gt;="&amp;L4)</f>
        <v>0</v>
      </c>
      <c r="N3" s="39">
        <f aca="true" t="shared" si="6" ref="N3:N44">N2+($N$45-$N$2)/BinDivisor</f>
        <v>0.015346255813953488</v>
      </c>
      <c r="O3" s="40">
        <f>COUNTIF(Vertices[Eigenvector Centrality],"&gt;= "&amp;N3)-COUNTIF(Vertices[Eigenvector Centrality],"&gt;="&amp;N4)</f>
        <v>0</v>
      </c>
      <c r="P3" s="39">
        <f aca="true" t="shared" si="7" ref="P3:P44">P2+($P$45-$P$2)/BinDivisor</f>
        <v>0.013760232558139535</v>
      </c>
      <c r="Q3" s="40">
        <f>COUNTIF(Vertices[PageRank],"&gt;= "&amp;P3)-COUNTIF(Vertices[PageRank],"&gt;="&amp;P4)</f>
        <v>6</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124</v>
      </c>
      <c r="X3" t="s">
        <v>84</v>
      </c>
    </row>
    <row r="4" spans="1:24" ht="15">
      <c r="A4" s="34" t="s">
        <v>145</v>
      </c>
      <c r="B4" s="34">
        <v>65</v>
      </c>
      <c r="D4" s="32">
        <f t="shared" si="1"/>
        <v>0</v>
      </c>
      <c r="E4" s="3">
        <f>COUNTIF(Vertices[Degree],"&gt;= "&amp;D4)-COUNTIF(Vertices[Degree],"&gt;="&amp;D5)</f>
        <v>0</v>
      </c>
      <c r="F4" s="37">
        <f t="shared" si="2"/>
        <v>0.13953488372093023</v>
      </c>
      <c r="G4" s="38">
        <f>COUNTIF(Vertices[In-Degree],"&gt;= "&amp;F4)-COUNTIF(Vertices[In-Degree],"&gt;="&amp;F5)</f>
        <v>0</v>
      </c>
      <c r="H4" s="37">
        <f t="shared" si="3"/>
        <v>0.5116279069767442</v>
      </c>
      <c r="I4" s="38">
        <f>COUNTIF(Vertices[Out-Degree],"&gt;= "&amp;H4)-COUNTIF(Vertices[Out-Degree],"&gt;="&amp;H5)</f>
        <v>0</v>
      </c>
      <c r="J4" s="37">
        <f t="shared" si="4"/>
        <v>6.046511627906977</v>
      </c>
      <c r="K4" s="38">
        <f>COUNTIF(Vertices[Betweenness Centrality],"&gt;= "&amp;J4)-COUNTIF(Vertices[Betweenness Centrality],"&gt;="&amp;J5)</f>
        <v>0</v>
      </c>
      <c r="L4" s="37">
        <f t="shared" si="5"/>
        <v>0.008050093023255815</v>
      </c>
      <c r="M4" s="38">
        <f>COUNTIF(Vertices[Closeness Centrality],"&gt;= "&amp;L4)-COUNTIF(Vertices[Closeness Centrality],"&gt;="&amp;L5)</f>
        <v>0</v>
      </c>
      <c r="N4" s="37">
        <f t="shared" si="6"/>
        <v>0.030692511627906975</v>
      </c>
      <c r="O4" s="38">
        <f>COUNTIF(Vertices[Eigenvector Centrality],"&gt;= "&amp;N4)-COUNTIF(Vertices[Eigenvector Centrality],"&gt;="&amp;N5)</f>
        <v>0</v>
      </c>
      <c r="P4" s="37">
        <f t="shared" si="7"/>
        <v>0.01407546511627907</v>
      </c>
      <c r="Q4" s="38">
        <f>COUNTIF(Vertices[PageRank],"&gt;= "&amp;P4)-COUNTIF(Vertices[PageRank],"&gt;="&amp;P5)</f>
        <v>7</v>
      </c>
      <c r="R4" s="37">
        <f t="shared" si="8"/>
        <v>0</v>
      </c>
      <c r="S4" s="43">
        <f>COUNTIF(Vertices[Clustering Coefficient],"&gt;= "&amp;R4)-COUNTIF(Vertices[Clustering Coefficient],"&gt;="&amp;R5)</f>
        <v>0</v>
      </c>
      <c r="T4" s="37" t="e">
        <f ca="1" t="shared" si="9"/>
        <v>#REF!</v>
      </c>
      <c r="U4" s="38" t="e">
        <f ca="1" t="shared" si="0"/>
        <v>#REF!</v>
      </c>
      <c r="W4" s="12" t="s">
        <v>125</v>
      </c>
      <c r="X4" s="12" t="s">
        <v>127</v>
      </c>
    </row>
    <row r="5" spans="1:21" ht="15">
      <c r="A5" s="102"/>
      <c r="B5" s="102"/>
      <c r="D5" s="32">
        <f t="shared" si="1"/>
        <v>0</v>
      </c>
      <c r="E5" s="3">
        <f>COUNTIF(Vertices[Degree],"&gt;= "&amp;D5)-COUNTIF(Vertices[Degree],"&gt;="&amp;D6)</f>
        <v>0</v>
      </c>
      <c r="F5" s="39">
        <f t="shared" si="2"/>
        <v>0.20930232558139533</v>
      </c>
      <c r="G5" s="40">
        <f>COUNTIF(Vertices[In-Degree],"&gt;= "&amp;F5)-COUNTIF(Vertices[In-Degree],"&gt;="&amp;F6)</f>
        <v>0</v>
      </c>
      <c r="H5" s="39">
        <f t="shared" si="3"/>
        <v>0.7674418604651163</v>
      </c>
      <c r="I5" s="40">
        <f>COUNTIF(Vertices[Out-Degree],"&gt;= "&amp;H5)-COUNTIF(Vertices[Out-Degree],"&gt;="&amp;H6)</f>
        <v>29</v>
      </c>
      <c r="J5" s="39">
        <f t="shared" si="4"/>
        <v>9.069767441860465</v>
      </c>
      <c r="K5" s="40">
        <f>COUNTIF(Vertices[Betweenness Centrality],"&gt;= "&amp;J5)-COUNTIF(Vertices[Betweenness Centrality],"&gt;="&amp;J6)</f>
        <v>2</v>
      </c>
      <c r="L5" s="39">
        <f t="shared" si="5"/>
        <v>0.012075139534883723</v>
      </c>
      <c r="M5" s="40">
        <f>COUNTIF(Vertices[Closeness Centrality],"&gt;= "&amp;L5)-COUNTIF(Vertices[Closeness Centrality],"&gt;="&amp;L6)</f>
        <v>8</v>
      </c>
      <c r="N5" s="39">
        <f t="shared" si="6"/>
        <v>0.04603876744186046</v>
      </c>
      <c r="O5" s="40">
        <f>COUNTIF(Vertices[Eigenvector Centrality],"&gt;= "&amp;N5)-COUNTIF(Vertices[Eigenvector Centrality],"&gt;="&amp;N6)</f>
        <v>1</v>
      </c>
      <c r="P5" s="39">
        <f t="shared" si="7"/>
        <v>0.014390697674418605</v>
      </c>
      <c r="Q5" s="40">
        <f>COUNTIF(Vertices[PageRank],"&gt;= "&amp;P5)-COUNTIF(Vertices[PageRank],"&gt;="&amp;P6)</f>
        <v>8</v>
      </c>
      <c r="R5" s="39">
        <f t="shared" si="8"/>
        <v>0</v>
      </c>
      <c r="S5" s="44">
        <f>COUNTIF(Vertices[Clustering Coefficient],"&gt;= "&amp;R5)-COUNTIF(Vertices[Clustering Coefficient],"&gt;="&amp;R6)</f>
        <v>0</v>
      </c>
      <c r="T5" s="39" t="e">
        <f ca="1" t="shared" si="9"/>
        <v>#REF!</v>
      </c>
      <c r="U5" s="40" t="e">
        <f ca="1" t="shared" si="0"/>
        <v>#REF!</v>
      </c>
    </row>
    <row r="6" spans="1:21" ht="15">
      <c r="A6" s="34" t="s">
        <v>147</v>
      </c>
      <c r="B6" s="34">
        <v>53</v>
      </c>
      <c r="D6" s="32">
        <f t="shared" si="1"/>
        <v>0</v>
      </c>
      <c r="E6" s="3">
        <f>COUNTIF(Vertices[Degree],"&gt;= "&amp;D6)-COUNTIF(Vertices[Degree],"&gt;="&amp;D7)</f>
        <v>0</v>
      </c>
      <c r="F6" s="37">
        <f t="shared" si="2"/>
        <v>0.27906976744186046</v>
      </c>
      <c r="G6" s="38">
        <f>COUNTIF(Vertices[In-Degree],"&gt;= "&amp;F6)-COUNTIF(Vertices[In-Degree],"&gt;="&amp;F7)</f>
        <v>0</v>
      </c>
      <c r="H6" s="37">
        <f t="shared" si="3"/>
        <v>1.0232558139534884</v>
      </c>
      <c r="I6" s="38">
        <f>COUNTIF(Vertices[Out-Degree],"&gt;= "&amp;H6)-COUNTIF(Vertices[Out-Degree],"&gt;="&amp;H7)</f>
        <v>0</v>
      </c>
      <c r="J6" s="37">
        <f t="shared" si="4"/>
        <v>12.093023255813954</v>
      </c>
      <c r="K6" s="38">
        <f>COUNTIF(Vertices[Betweenness Centrality],"&gt;= "&amp;J6)-COUNTIF(Vertices[Betweenness Centrality],"&gt;="&amp;J7)</f>
        <v>0</v>
      </c>
      <c r="L6" s="37">
        <f t="shared" si="5"/>
        <v>0.01610018604651163</v>
      </c>
      <c r="M6" s="38">
        <f>COUNTIF(Vertices[Closeness Centrality],"&gt;= "&amp;L6)-COUNTIF(Vertices[Closeness Centrality],"&gt;="&amp;L7)</f>
        <v>0</v>
      </c>
      <c r="N6" s="37">
        <f t="shared" si="6"/>
        <v>0.06138502325581395</v>
      </c>
      <c r="O6" s="38">
        <f>COUNTIF(Vertices[Eigenvector Centrality],"&gt;= "&amp;N6)-COUNTIF(Vertices[Eigenvector Centrality],"&gt;="&amp;N7)</f>
        <v>0</v>
      </c>
      <c r="P6" s="37">
        <f t="shared" si="7"/>
        <v>0.01470593023255814</v>
      </c>
      <c r="Q6" s="38">
        <f>COUNTIF(Vertices[PageRank],"&gt;= "&amp;P6)-COUNTIF(Vertices[PageRank],"&gt;="&amp;P7)</f>
        <v>7</v>
      </c>
      <c r="R6" s="37">
        <f t="shared" si="8"/>
        <v>0</v>
      </c>
      <c r="S6" s="43">
        <f>COUNTIF(Vertices[Clustering Coefficient],"&gt;= "&amp;R6)-COUNTIF(Vertices[Clustering Coefficient],"&gt;="&amp;R7)</f>
        <v>0</v>
      </c>
      <c r="T6" s="37" t="e">
        <f ca="1" t="shared" si="9"/>
        <v>#REF!</v>
      </c>
      <c r="U6" s="38" t="e">
        <f ca="1" t="shared" si="0"/>
        <v>#REF!</v>
      </c>
    </row>
    <row r="7" spans="1:21" ht="15">
      <c r="A7" s="34" t="s">
        <v>148</v>
      </c>
      <c r="B7" s="34">
        <v>76</v>
      </c>
      <c r="D7" s="32">
        <f t="shared" si="1"/>
        <v>0</v>
      </c>
      <c r="E7" s="3">
        <f>COUNTIF(Vertices[Degree],"&gt;= "&amp;D7)-COUNTIF(Vertices[Degree],"&gt;="&amp;D8)</f>
        <v>0</v>
      </c>
      <c r="F7" s="39">
        <f t="shared" si="2"/>
        <v>0.3488372093023256</v>
      </c>
      <c r="G7" s="40">
        <f>COUNTIF(Vertices[In-Degree],"&gt;= "&amp;F7)-COUNTIF(Vertices[In-Degree],"&gt;="&amp;F8)</f>
        <v>0</v>
      </c>
      <c r="H7" s="39">
        <f t="shared" si="3"/>
        <v>1.2790697674418605</v>
      </c>
      <c r="I7" s="40">
        <f>COUNTIF(Vertices[Out-Degree],"&gt;= "&amp;H7)-COUNTIF(Vertices[Out-Degree],"&gt;="&amp;H8)</f>
        <v>0</v>
      </c>
      <c r="J7" s="39">
        <f t="shared" si="4"/>
        <v>15.116279069767442</v>
      </c>
      <c r="K7" s="40">
        <f>COUNTIF(Vertices[Betweenness Centrality],"&gt;= "&amp;J7)-COUNTIF(Vertices[Betweenness Centrality],"&gt;="&amp;J8)</f>
        <v>0</v>
      </c>
      <c r="L7" s="39">
        <f t="shared" si="5"/>
        <v>0.020125232558139538</v>
      </c>
      <c r="M7" s="40">
        <f>COUNTIF(Vertices[Closeness Centrality],"&gt;= "&amp;L7)-COUNTIF(Vertices[Closeness Centrality],"&gt;="&amp;L8)</f>
        <v>4</v>
      </c>
      <c r="N7" s="39">
        <f t="shared" si="6"/>
        <v>0.07673127906976744</v>
      </c>
      <c r="O7" s="40">
        <f>COUNTIF(Vertices[Eigenvector Centrality],"&gt;= "&amp;N7)-COUNTIF(Vertices[Eigenvector Centrality],"&gt;="&amp;N8)</f>
        <v>0</v>
      </c>
      <c r="P7" s="39">
        <f t="shared" si="7"/>
        <v>0.015021162790697675</v>
      </c>
      <c r="Q7" s="40">
        <f>COUNTIF(Vertices[PageRank],"&gt;= "&amp;P7)-COUNTIF(Vertices[PageRank],"&gt;="&amp;P8)</f>
        <v>3</v>
      </c>
      <c r="R7" s="39">
        <f t="shared" si="8"/>
        <v>0</v>
      </c>
      <c r="S7" s="44">
        <f>COUNTIF(Vertices[Clustering Coefficient],"&gt;= "&amp;R7)-COUNTIF(Vertices[Clustering Coefficient],"&gt;="&amp;R8)</f>
        <v>0</v>
      </c>
      <c r="T7" s="39" t="e">
        <f ca="1" t="shared" si="9"/>
        <v>#REF!</v>
      </c>
      <c r="U7" s="40" t="e">
        <f ca="1" t="shared" si="0"/>
        <v>#REF!</v>
      </c>
    </row>
    <row r="8" spans="1:21" ht="15">
      <c r="A8" s="34" t="s">
        <v>149</v>
      </c>
      <c r="B8" s="34">
        <v>129</v>
      </c>
      <c r="D8" s="32">
        <f t="shared" si="1"/>
        <v>0</v>
      </c>
      <c r="E8" s="3">
        <f>COUNTIF(Vertices[Degree],"&gt;= "&amp;D8)-COUNTIF(Vertices[Degree],"&gt;="&amp;D9)</f>
        <v>0</v>
      </c>
      <c r="F8" s="37">
        <f t="shared" si="2"/>
        <v>0.4186046511627907</v>
      </c>
      <c r="G8" s="38">
        <f>COUNTIF(Vertices[In-Degree],"&gt;= "&amp;F8)-COUNTIF(Vertices[In-Degree],"&gt;="&amp;F9)</f>
        <v>0</v>
      </c>
      <c r="H8" s="37">
        <f t="shared" si="3"/>
        <v>1.5348837209302326</v>
      </c>
      <c r="I8" s="38">
        <f>COUNTIF(Vertices[Out-Degree],"&gt;= "&amp;H8)-COUNTIF(Vertices[Out-Degree],"&gt;="&amp;H9)</f>
        <v>0</v>
      </c>
      <c r="J8" s="37">
        <f t="shared" si="4"/>
        <v>18.13953488372093</v>
      </c>
      <c r="K8" s="38">
        <f>COUNTIF(Vertices[Betweenness Centrality],"&gt;= "&amp;J8)-COUNTIF(Vertices[Betweenness Centrality],"&gt;="&amp;J9)</f>
        <v>2</v>
      </c>
      <c r="L8" s="37">
        <f t="shared" si="5"/>
        <v>0.024150279069767445</v>
      </c>
      <c r="M8" s="38">
        <f>COUNTIF(Vertices[Closeness Centrality],"&gt;= "&amp;L8)-COUNTIF(Vertices[Closeness Centrality],"&gt;="&amp;L9)</f>
        <v>3</v>
      </c>
      <c r="N8" s="37">
        <f t="shared" si="6"/>
        <v>0.09207753488372093</v>
      </c>
      <c r="O8" s="38">
        <f>COUNTIF(Vertices[Eigenvector Centrality],"&gt;= "&amp;N8)-COUNTIF(Vertices[Eigenvector Centrality],"&gt;="&amp;N9)</f>
        <v>0</v>
      </c>
      <c r="P8" s="37">
        <f t="shared" si="7"/>
        <v>0.01533639534883721</v>
      </c>
      <c r="Q8" s="38">
        <f>COUNTIF(Vertices[PageRank],"&gt;= "&amp;P8)-COUNTIF(Vertices[PageRank],"&gt;="&amp;P9)</f>
        <v>9</v>
      </c>
      <c r="R8" s="37">
        <f t="shared" si="8"/>
        <v>0</v>
      </c>
      <c r="S8" s="43">
        <f>COUNTIF(Vertices[Clustering Coefficient],"&gt;= "&amp;R8)-COUNTIF(Vertices[Clustering Coefficient],"&gt;="&amp;R9)</f>
        <v>0</v>
      </c>
      <c r="T8" s="37" t="e">
        <f ca="1" t="shared" si="9"/>
        <v>#REF!</v>
      </c>
      <c r="U8" s="38" t="e">
        <f ca="1" t="shared" si="0"/>
        <v>#REF!</v>
      </c>
    </row>
    <row r="9" spans="1:21" ht="15">
      <c r="A9" s="102"/>
      <c r="B9" s="102"/>
      <c r="D9" s="32">
        <f t="shared" si="1"/>
        <v>0</v>
      </c>
      <c r="E9" s="3">
        <f>COUNTIF(Vertices[Degree],"&gt;= "&amp;D9)-COUNTIF(Vertices[Degree],"&gt;="&amp;D10)</f>
        <v>0</v>
      </c>
      <c r="F9" s="39">
        <f t="shared" si="2"/>
        <v>0.48837209302325585</v>
      </c>
      <c r="G9" s="40">
        <f>COUNTIF(Vertices[In-Degree],"&gt;= "&amp;F9)-COUNTIF(Vertices[In-Degree],"&gt;="&amp;F10)</f>
        <v>0</v>
      </c>
      <c r="H9" s="39">
        <f t="shared" si="3"/>
        <v>1.7906976744186047</v>
      </c>
      <c r="I9" s="40">
        <f>COUNTIF(Vertices[Out-Degree],"&gt;= "&amp;H9)-COUNTIF(Vertices[Out-Degree],"&gt;="&amp;H10)</f>
        <v>3</v>
      </c>
      <c r="J9" s="39">
        <f t="shared" si="4"/>
        <v>21.162790697674417</v>
      </c>
      <c r="K9" s="40">
        <f>COUNTIF(Vertices[Betweenness Centrality],"&gt;= "&amp;J9)-COUNTIF(Vertices[Betweenness Centrality],"&gt;="&amp;J10)</f>
        <v>2</v>
      </c>
      <c r="L9" s="39">
        <f t="shared" si="5"/>
        <v>0.028175325581395353</v>
      </c>
      <c r="M9" s="40">
        <f>COUNTIF(Vertices[Closeness Centrality],"&gt;= "&amp;L9)-COUNTIF(Vertices[Closeness Centrality],"&gt;="&amp;L10)</f>
        <v>2</v>
      </c>
      <c r="N9" s="39">
        <f t="shared" si="6"/>
        <v>0.10742379069767442</v>
      </c>
      <c r="O9" s="40">
        <f>COUNTIF(Vertices[Eigenvector Centrality],"&gt;= "&amp;N9)-COUNTIF(Vertices[Eigenvector Centrality],"&gt;="&amp;N10)</f>
        <v>0</v>
      </c>
      <c r="P9" s="39">
        <f t="shared" si="7"/>
        <v>0.015651627906976745</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150</v>
      </c>
      <c r="B10" s="34">
        <v>28</v>
      </c>
      <c r="D10" s="32">
        <f t="shared" si="1"/>
        <v>0</v>
      </c>
      <c r="E10" s="3">
        <f>COUNTIF(Vertices[Degree],"&gt;= "&amp;D10)-COUNTIF(Vertices[Degree],"&gt;="&amp;D11)</f>
        <v>0</v>
      </c>
      <c r="F10" s="37">
        <f t="shared" si="2"/>
        <v>0.5581395348837209</v>
      </c>
      <c r="G10" s="38">
        <f>COUNTIF(Vertices[In-Degree],"&gt;= "&amp;F10)-COUNTIF(Vertices[In-Degree],"&gt;="&amp;F11)</f>
        <v>0</v>
      </c>
      <c r="H10" s="37">
        <f t="shared" si="3"/>
        <v>2.046511627906977</v>
      </c>
      <c r="I10" s="38">
        <f>COUNTIF(Vertices[Out-Degree],"&gt;= "&amp;H10)-COUNTIF(Vertices[Out-Degree],"&gt;="&amp;H11)</f>
        <v>0</v>
      </c>
      <c r="J10" s="37">
        <f t="shared" si="4"/>
        <v>24.186046511627907</v>
      </c>
      <c r="K10" s="38">
        <f>COUNTIF(Vertices[Betweenness Centrality],"&gt;= "&amp;J10)-COUNTIF(Vertices[Betweenness Centrality],"&gt;="&amp;J11)</f>
        <v>1</v>
      </c>
      <c r="L10" s="37">
        <f t="shared" si="5"/>
        <v>0.03220037209302326</v>
      </c>
      <c r="M10" s="38">
        <f>COUNTIF(Vertices[Closeness Centrality],"&gt;= "&amp;L10)-COUNTIF(Vertices[Closeness Centrality],"&gt;="&amp;L11)</f>
        <v>2</v>
      </c>
      <c r="N10" s="37">
        <f t="shared" si="6"/>
        <v>0.12277004651162791</v>
      </c>
      <c r="O10" s="38">
        <f>COUNTIF(Vertices[Eigenvector Centrality],"&gt;= "&amp;N10)-COUNTIF(Vertices[Eigenvector Centrality],"&gt;="&amp;N11)</f>
        <v>0</v>
      </c>
      <c r="P10" s="37">
        <f t="shared" si="7"/>
        <v>0.015966860465116278</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2"/>
      <c r="B11" s="102"/>
      <c r="D11" s="32">
        <f t="shared" si="1"/>
        <v>0</v>
      </c>
      <c r="E11" s="3">
        <f>COUNTIF(Vertices[Degree],"&gt;= "&amp;D11)-COUNTIF(Vertices[Degree],"&gt;="&amp;D12)</f>
        <v>0</v>
      </c>
      <c r="F11" s="39">
        <f t="shared" si="2"/>
        <v>0.627906976744186</v>
      </c>
      <c r="G11" s="40">
        <f>COUNTIF(Vertices[In-Degree],"&gt;= "&amp;F11)-COUNTIF(Vertices[In-Degree],"&gt;="&amp;F12)</f>
        <v>0</v>
      </c>
      <c r="H11" s="39">
        <f t="shared" si="3"/>
        <v>2.302325581395349</v>
      </c>
      <c r="I11" s="40">
        <f>COUNTIF(Vertices[Out-Degree],"&gt;= "&amp;H11)-COUNTIF(Vertices[Out-Degree],"&gt;="&amp;H12)</f>
        <v>0</v>
      </c>
      <c r="J11" s="39">
        <f t="shared" si="4"/>
        <v>27.209302325581397</v>
      </c>
      <c r="K11" s="40">
        <f>COUNTIF(Vertices[Betweenness Centrality],"&gt;= "&amp;J11)-COUNTIF(Vertices[Betweenness Centrality],"&gt;="&amp;J12)</f>
        <v>0</v>
      </c>
      <c r="L11" s="39">
        <f t="shared" si="5"/>
        <v>0.03622541860465117</v>
      </c>
      <c r="M11" s="40">
        <f>COUNTIF(Vertices[Closeness Centrality],"&gt;= "&amp;L11)-COUNTIF(Vertices[Closeness Centrality],"&gt;="&amp;L12)</f>
        <v>0</v>
      </c>
      <c r="N11" s="39">
        <f t="shared" si="6"/>
        <v>0.1381163023255814</v>
      </c>
      <c r="O11" s="40">
        <f>COUNTIF(Vertices[Eigenvector Centrality],"&gt;= "&amp;N11)-COUNTIF(Vertices[Eigenvector Centrality],"&gt;="&amp;N12)</f>
        <v>0</v>
      </c>
      <c r="P11" s="39">
        <f t="shared" si="7"/>
        <v>0.01628209302325581</v>
      </c>
      <c r="Q11" s="40">
        <f>COUNTIF(Vertices[PageRank],"&gt;= "&amp;P11)-COUNTIF(Vertices[PageRank],"&gt;="&amp;P12)</f>
        <v>4</v>
      </c>
      <c r="R11" s="39">
        <f t="shared" si="8"/>
        <v>0</v>
      </c>
      <c r="S11" s="44">
        <f>COUNTIF(Vertices[Clustering Coefficient],"&gt;= "&amp;R11)-COUNTIF(Vertices[Clustering Coefficient],"&gt;="&amp;R12)</f>
        <v>0</v>
      </c>
      <c r="T11" s="39" t="e">
        <f ca="1" t="shared" si="9"/>
        <v>#REF!</v>
      </c>
      <c r="U11" s="40" t="e">
        <f ca="1" t="shared" si="0"/>
        <v>#REF!</v>
      </c>
    </row>
    <row r="12" spans="1:21" ht="15">
      <c r="A12" s="34" t="s">
        <v>168</v>
      </c>
      <c r="B12" s="34">
        <v>0.0196078431372549</v>
      </c>
      <c r="D12" s="32">
        <f t="shared" si="1"/>
        <v>0</v>
      </c>
      <c r="E12" s="3">
        <f>COUNTIF(Vertices[Degree],"&gt;= "&amp;D12)-COUNTIF(Vertices[Degree],"&gt;="&amp;D13)</f>
        <v>0</v>
      </c>
      <c r="F12" s="37">
        <f t="shared" si="2"/>
        <v>0.6976744186046512</v>
      </c>
      <c r="G12" s="38">
        <f>COUNTIF(Vertices[In-Degree],"&gt;= "&amp;F12)-COUNTIF(Vertices[In-Degree],"&gt;="&amp;F13)</f>
        <v>0</v>
      </c>
      <c r="H12" s="37">
        <f t="shared" si="3"/>
        <v>2.558139534883721</v>
      </c>
      <c r="I12" s="38">
        <f>COUNTIF(Vertices[Out-Degree],"&gt;= "&amp;H12)-COUNTIF(Vertices[Out-Degree],"&gt;="&amp;H13)</f>
        <v>0</v>
      </c>
      <c r="J12" s="37">
        <f t="shared" si="4"/>
        <v>30.232558139534888</v>
      </c>
      <c r="K12" s="38">
        <f>COUNTIF(Vertices[Betweenness Centrality],"&gt;= "&amp;J12)-COUNTIF(Vertices[Betweenness Centrality],"&gt;="&amp;J13)</f>
        <v>0</v>
      </c>
      <c r="L12" s="37">
        <f t="shared" si="5"/>
        <v>0.04025046511627908</v>
      </c>
      <c r="M12" s="38">
        <f>COUNTIF(Vertices[Closeness Centrality],"&gt;= "&amp;L12)-COUNTIF(Vertices[Closeness Centrality],"&gt;="&amp;L13)</f>
        <v>12</v>
      </c>
      <c r="N12" s="37">
        <f t="shared" si="6"/>
        <v>0.15346255813953488</v>
      </c>
      <c r="O12" s="38">
        <f>COUNTIF(Vertices[Eigenvector Centrality],"&gt;= "&amp;N12)-COUNTIF(Vertices[Eigenvector Centrality],"&gt;="&amp;N13)</f>
        <v>0</v>
      </c>
      <c r="P12" s="37">
        <f t="shared" si="7"/>
        <v>0.016597325581395345</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169</v>
      </c>
      <c r="B13" s="34">
        <v>0.038461538461538464</v>
      </c>
      <c r="D13" s="32">
        <f t="shared" si="1"/>
        <v>0</v>
      </c>
      <c r="E13" s="3">
        <f>COUNTIF(Vertices[Degree],"&gt;= "&amp;D13)-COUNTIF(Vertices[Degree],"&gt;="&amp;D14)</f>
        <v>0</v>
      </c>
      <c r="F13" s="39">
        <f t="shared" si="2"/>
        <v>0.7674418604651163</v>
      </c>
      <c r="G13" s="40">
        <f>COUNTIF(Vertices[In-Degree],"&gt;= "&amp;F13)-COUNTIF(Vertices[In-Degree],"&gt;="&amp;F14)</f>
        <v>0</v>
      </c>
      <c r="H13" s="39">
        <f t="shared" si="3"/>
        <v>2.813953488372093</v>
      </c>
      <c r="I13" s="40">
        <f>COUNTIF(Vertices[Out-Degree],"&gt;= "&amp;H13)-COUNTIF(Vertices[Out-Degree],"&gt;="&amp;H14)</f>
        <v>2</v>
      </c>
      <c r="J13" s="39">
        <f t="shared" si="4"/>
        <v>33.25581395348838</v>
      </c>
      <c r="K13" s="40">
        <f>COUNTIF(Vertices[Betweenness Centrality],"&gt;= "&amp;J13)-COUNTIF(Vertices[Betweenness Centrality],"&gt;="&amp;J14)</f>
        <v>0</v>
      </c>
      <c r="L13" s="39">
        <f t="shared" si="5"/>
        <v>0.044275511627906994</v>
      </c>
      <c r="M13" s="40">
        <f>COUNTIF(Vertices[Closeness Centrality],"&gt;= "&amp;L13)-COUNTIF(Vertices[Closeness Centrality],"&gt;="&amp;L14)</f>
        <v>1</v>
      </c>
      <c r="N13" s="39">
        <f t="shared" si="6"/>
        <v>0.16880881395348837</v>
      </c>
      <c r="O13" s="40">
        <f>COUNTIF(Vertices[Eigenvector Centrality],"&gt;= "&amp;N13)-COUNTIF(Vertices[Eigenvector Centrality],"&gt;="&amp;N14)</f>
        <v>2</v>
      </c>
      <c r="P13" s="39">
        <f t="shared" si="7"/>
        <v>0.016912558139534878</v>
      </c>
      <c r="Q13" s="40">
        <f>COUNTIF(Vertices[PageRank],"&gt;= "&amp;P13)-COUNTIF(Vertices[PageRank],"&gt;="&amp;P14)</f>
        <v>1</v>
      </c>
      <c r="R13" s="39">
        <f t="shared" si="8"/>
        <v>0</v>
      </c>
      <c r="S13" s="44">
        <f>COUNTIF(Vertices[Clustering Coefficient],"&gt;= "&amp;R13)-COUNTIF(Vertices[Clustering Coefficient],"&gt;="&amp;R14)</f>
        <v>0</v>
      </c>
      <c r="T13" s="39" t="e">
        <f ca="1" t="shared" si="9"/>
        <v>#REF!</v>
      </c>
      <c r="U13" s="40" t="e">
        <f ca="1" t="shared" si="0"/>
        <v>#REF!</v>
      </c>
    </row>
    <row r="14" spans="1:21" ht="15">
      <c r="A14" s="102"/>
      <c r="B14" s="102"/>
      <c r="D14" s="32">
        <f t="shared" si="1"/>
        <v>0</v>
      </c>
      <c r="E14" s="3">
        <f>COUNTIF(Vertices[Degree],"&gt;= "&amp;D14)-COUNTIF(Vertices[Degree],"&gt;="&amp;D15)</f>
        <v>0</v>
      </c>
      <c r="F14" s="37">
        <f t="shared" si="2"/>
        <v>0.8372093023255814</v>
      </c>
      <c r="G14" s="38">
        <f>COUNTIF(Vertices[In-Degree],"&gt;= "&amp;F14)-COUNTIF(Vertices[In-Degree],"&gt;="&amp;F15)</f>
        <v>0</v>
      </c>
      <c r="H14" s="37">
        <f t="shared" si="3"/>
        <v>3.0697674418604652</v>
      </c>
      <c r="I14" s="38">
        <f>COUNTIF(Vertices[Out-Degree],"&gt;= "&amp;H14)-COUNTIF(Vertices[Out-Degree],"&gt;="&amp;H15)</f>
        <v>0</v>
      </c>
      <c r="J14" s="37">
        <f t="shared" si="4"/>
        <v>36.27906976744187</v>
      </c>
      <c r="K14" s="38">
        <f>COUNTIF(Vertices[Betweenness Centrality],"&gt;= "&amp;J14)-COUNTIF(Vertices[Betweenness Centrality],"&gt;="&amp;J15)</f>
        <v>0</v>
      </c>
      <c r="L14" s="37">
        <f t="shared" si="5"/>
        <v>0.048300558139534905</v>
      </c>
      <c r="M14" s="38">
        <f>COUNTIF(Vertices[Closeness Centrality],"&gt;= "&amp;L14)-COUNTIF(Vertices[Closeness Centrality],"&gt;="&amp;L15)</f>
        <v>2</v>
      </c>
      <c r="N14" s="37">
        <f t="shared" si="6"/>
        <v>0.18415506976744186</v>
      </c>
      <c r="O14" s="38">
        <f>COUNTIF(Vertices[Eigenvector Centrality],"&gt;= "&amp;N14)-COUNTIF(Vertices[Eigenvector Centrality],"&gt;="&amp;N15)</f>
        <v>1</v>
      </c>
      <c r="P14" s="37">
        <f t="shared" si="7"/>
        <v>0.01722779069767441</v>
      </c>
      <c r="Q14" s="38">
        <f>COUNTIF(Vertices[PageRank],"&gt;= "&amp;P14)-COUNTIF(Vertices[PageRank],"&gt;="&amp;P15)</f>
        <v>2</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14</v>
      </c>
      <c r="D15" s="32">
        <f t="shared" si="1"/>
        <v>0</v>
      </c>
      <c r="E15" s="3">
        <f>COUNTIF(Vertices[Degree],"&gt;= "&amp;D15)-COUNTIF(Vertices[Degree],"&gt;="&amp;D16)</f>
        <v>0</v>
      </c>
      <c r="F15" s="39">
        <f t="shared" si="2"/>
        <v>0.9069767441860466</v>
      </c>
      <c r="G15" s="40">
        <f>COUNTIF(Vertices[In-Degree],"&gt;= "&amp;F15)-COUNTIF(Vertices[In-Degree],"&gt;="&amp;F16)</f>
        <v>0</v>
      </c>
      <c r="H15" s="39">
        <f t="shared" si="3"/>
        <v>3.3255813953488373</v>
      </c>
      <c r="I15" s="40">
        <f>COUNTIF(Vertices[Out-Degree],"&gt;= "&amp;H15)-COUNTIF(Vertices[Out-Degree],"&gt;="&amp;H16)</f>
        <v>0</v>
      </c>
      <c r="J15" s="39">
        <f t="shared" si="4"/>
        <v>39.30232558139536</v>
      </c>
      <c r="K15" s="40">
        <f>COUNTIF(Vertices[Betweenness Centrality],"&gt;= "&amp;J15)-COUNTIF(Vertices[Betweenness Centrality],"&gt;="&amp;J16)</f>
        <v>0</v>
      </c>
      <c r="L15" s="39">
        <f t="shared" si="5"/>
        <v>0.052325604651162816</v>
      </c>
      <c r="M15" s="40">
        <f>COUNTIF(Vertices[Closeness Centrality],"&gt;= "&amp;L15)-COUNTIF(Vertices[Closeness Centrality],"&gt;="&amp;L16)</f>
        <v>0</v>
      </c>
      <c r="N15" s="39">
        <f t="shared" si="6"/>
        <v>0.19950132558139536</v>
      </c>
      <c r="O15" s="40">
        <f>COUNTIF(Vertices[Eigenvector Centrality],"&gt;= "&amp;N15)-COUNTIF(Vertices[Eigenvector Centrality],"&gt;="&amp;N16)</f>
        <v>0</v>
      </c>
      <c r="P15" s="39">
        <f t="shared" si="7"/>
        <v>0.017543023255813944</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152</v>
      </c>
      <c r="B16" s="34">
        <v>2</v>
      </c>
      <c r="D16" s="32">
        <f t="shared" si="1"/>
        <v>0</v>
      </c>
      <c r="E16" s="3">
        <f>COUNTIF(Vertices[Degree],"&gt;= "&amp;D16)-COUNTIF(Vertices[Degree],"&gt;="&amp;D17)</f>
        <v>0</v>
      </c>
      <c r="F16" s="37">
        <f t="shared" si="2"/>
        <v>0.9767441860465117</v>
      </c>
      <c r="G16" s="38">
        <f>COUNTIF(Vertices[In-Degree],"&gt;= "&amp;F16)-COUNTIF(Vertices[In-Degree],"&gt;="&amp;F17)</f>
        <v>32</v>
      </c>
      <c r="H16" s="37">
        <f t="shared" si="3"/>
        <v>3.5813953488372094</v>
      </c>
      <c r="I16" s="38">
        <f>COUNTIF(Vertices[Out-Degree],"&gt;= "&amp;H16)-COUNTIF(Vertices[Out-Degree],"&gt;="&amp;H17)</f>
        <v>0</v>
      </c>
      <c r="J16" s="37">
        <f t="shared" si="4"/>
        <v>42.32558139534885</v>
      </c>
      <c r="K16" s="38">
        <f>COUNTIF(Vertices[Betweenness Centrality],"&gt;= "&amp;J16)-COUNTIF(Vertices[Betweenness Centrality],"&gt;="&amp;J17)</f>
        <v>0</v>
      </c>
      <c r="L16" s="37">
        <f t="shared" si="5"/>
        <v>0.05635065116279073</v>
      </c>
      <c r="M16" s="38">
        <f>COUNTIF(Vertices[Closeness Centrality],"&gt;= "&amp;L16)-COUNTIF(Vertices[Closeness Centrality],"&gt;="&amp;L17)</f>
        <v>0</v>
      </c>
      <c r="N16" s="37">
        <f t="shared" si="6"/>
        <v>0.21484758139534885</v>
      </c>
      <c r="O16" s="38">
        <f>COUNTIF(Vertices[Eigenvector Centrality],"&gt;= "&amp;N16)-COUNTIF(Vertices[Eigenvector Centrality],"&gt;="&amp;N17)</f>
        <v>0</v>
      </c>
      <c r="P16" s="37">
        <f t="shared" si="7"/>
        <v>0.017858255813953477</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153</v>
      </c>
      <c r="B17" s="34">
        <v>13</v>
      </c>
      <c r="D17" s="32">
        <f t="shared" si="1"/>
        <v>0</v>
      </c>
      <c r="E17" s="3">
        <f>COUNTIF(Vertices[Degree],"&gt;= "&amp;D17)-COUNTIF(Vertices[Degree],"&gt;="&amp;D18)</f>
        <v>0</v>
      </c>
      <c r="F17" s="39">
        <f t="shared" si="2"/>
        <v>1.0465116279069768</v>
      </c>
      <c r="G17" s="40">
        <f>COUNTIF(Vertices[In-Degree],"&gt;= "&amp;F17)-COUNTIF(Vertices[In-Degree],"&gt;="&amp;F18)</f>
        <v>0</v>
      </c>
      <c r="H17" s="39">
        <f t="shared" si="3"/>
        <v>3.8372093023255816</v>
      </c>
      <c r="I17" s="40">
        <f>COUNTIF(Vertices[Out-Degree],"&gt;= "&amp;H17)-COUNTIF(Vertices[Out-Degree],"&gt;="&amp;H18)</f>
        <v>1</v>
      </c>
      <c r="J17" s="39">
        <f t="shared" si="4"/>
        <v>45.34883720930234</v>
      </c>
      <c r="K17" s="40">
        <f>COUNTIF(Vertices[Betweenness Centrality],"&gt;= "&amp;J17)-COUNTIF(Vertices[Betweenness Centrality],"&gt;="&amp;J18)</f>
        <v>0</v>
      </c>
      <c r="L17" s="39">
        <f t="shared" si="5"/>
        <v>0.06037569767441864</v>
      </c>
      <c r="M17" s="40">
        <f>COUNTIF(Vertices[Closeness Centrality],"&gt;= "&amp;L17)-COUNTIF(Vertices[Closeness Centrality],"&gt;="&amp;L18)</f>
        <v>1</v>
      </c>
      <c r="N17" s="39">
        <f t="shared" si="6"/>
        <v>0.23019383720930234</v>
      </c>
      <c r="O17" s="40">
        <f>COUNTIF(Vertices[Eigenvector Centrality],"&gt;= "&amp;N17)-COUNTIF(Vertices[Eigenvector Centrality],"&gt;="&amp;N18)</f>
        <v>8</v>
      </c>
      <c r="P17" s="39">
        <f t="shared" si="7"/>
        <v>0.01817348837209301</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154</v>
      </c>
      <c r="B18" s="34">
        <v>51</v>
      </c>
      <c r="D18" s="32">
        <f t="shared" si="1"/>
        <v>0</v>
      </c>
      <c r="E18" s="3">
        <f>COUNTIF(Vertices[Degree],"&gt;= "&amp;D18)-COUNTIF(Vertices[Degree],"&gt;="&amp;D19)</f>
        <v>0</v>
      </c>
      <c r="F18" s="37">
        <f t="shared" si="2"/>
        <v>1.1162790697674418</v>
      </c>
      <c r="G18" s="38">
        <f>COUNTIF(Vertices[In-Degree],"&gt;= "&amp;F18)-COUNTIF(Vertices[In-Degree],"&gt;="&amp;F19)</f>
        <v>0</v>
      </c>
      <c r="H18" s="37">
        <f t="shared" si="3"/>
        <v>4.093023255813954</v>
      </c>
      <c r="I18" s="38">
        <f>COUNTIF(Vertices[Out-Degree],"&gt;= "&amp;H18)-COUNTIF(Vertices[Out-Degree],"&gt;="&amp;H19)</f>
        <v>0</v>
      </c>
      <c r="J18" s="37">
        <f t="shared" si="4"/>
        <v>48.37209302325583</v>
      </c>
      <c r="K18" s="38">
        <f>COUNTIF(Vertices[Betweenness Centrality],"&gt;= "&amp;J18)-COUNTIF(Vertices[Betweenness Centrality],"&gt;="&amp;J19)</f>
        <v>0</v>
      </c>
      <c r="L18" s="37">
        <f t="shared" si="5"/>
        <v>0.06440074418604655</v>
      </c>
      <c r="M18" s="38">
        <f>COUNTIF(Vertices[Closeness Centrality],"&gt;= "&amp;L18)-COUNTIF(Vertices[Closeness Centrality],"&gt;="&amp;L19)</f>
        <v>1</v>
      </c>
      <c r="N18" s="37">
        <f t="shared" si="6"/>
        <v>0.24554009302325583</v>
      </c>
      <c r="O18" s="38">
        <f>COUNTIF(Vertices[Eigenvector Centrality],"&gt;= "&amp;N18)-COUNTIF(Vertices[Eigenvector Centrality],"&gt;="&amp;N19)</f>
        <v>0</v>
      </c>
      <c r="P18" s="37">
        <f t="shared" si="7"/>
        <v>0.018488720930232544</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2"/>
      <c r="B19" s="102"/>
      <c r="D19" s="32">
        <f t="shared" si="1"/>
        <v>0</v>
      </c>
      <c r="E19" s="3">
        <f>COUNTIF(Vertices[Degree],"&gt;= "&amp;D19)-COUNTIF(Vertices[Degree],"&gt;="&amp;D20)</f>
        <v>0</v>
      </c>
      <c r="F19" s="39">
        <f t="shared" si="2"/>
        <v>1.1860465116279069</v>
      </c>
      <c r="G19" s="40">
        <f>COUNTIF(Vertices[In-Degree],"&gt;= "&amp;F19)-COUNTIF(Vertices[In-Degree],"&gt;="&amp;F20)</f>
        <v>0</v>
      </c>
      <c r="H19" s="39">
        <f t="shared" si="3"/>
        <v>4.348837209302326</v>
      </c>
      <c r="I19" s="40">
        <f>COUNTIF(Vertices[Out-Degree],"&gt;= "&amp;H19)-COUNTIF(Vertices[Out-Degree],"&gt;="&amp;H20)</f>
        <v>0</v>
      </c>
      <c r="J19" s="39">
        <f t="shared" si="4"/>
        <v>51.39534883720932</v>
      </c>
      <c r="K19" s="40">
        <f>COUNTIF(Vertices[Betweenness Centrality],"&gt;= "&amp;J19)-COUNTIF(Vertices[Betweenness Centrality],"&gt;="&amp;J20)</f>
        <v>0</v>
      </c>
      <c r="L19" s="39">
        <f t="shared" si="5"/>
        <v>0.06842579069767446</v>
      </c>
      <c r="M19" s="40">
        <f>COUNTIF(Vertices[Closeness Centrality],"&gt;= "&amp;L19)-COUNTIF(Vertices[Closeness Centrality],"&gt;="&amp;L20)</f>
        <v>1</v>
      </c>
      <c r="N19" s="39">
        <f t="shared" si="6"/>
        <v>0.2608863488372093</v>
      </c>
      <c r="O19" s="40">
        <f>COUNTIF(Vertices[Eigenvector Centrality],"&gt;= "&amp;N19)-COUNTIF(Vertices[Eigenvector Centrality],"&gt;="&amp;N20)</f>
        <v>0</v>
      </c>
      <c r="P19" s="39">
        <f t="shared" si="7"/>
        <v>0.018803953488372077</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155</v>
      </c>
      <c r="B20" s="34">
        <v>4</v>
      </c>
      <c r="D20" s="32">
        <f t="shared" si="1"/>
        <v>0</v>
      </c>
      <c r="E20" s="3">
        <f>COUNTIF(Vertices[Degree],"&gt;= "&amp;D20)-COUNTIF(Vertices[Degree],"&gt;="&amp;D21)</f>
        <v>0</v>
      </c>
      <c r="F20" s="37">
        <f t="shared" si="2"/>
        <v>1.2558139534883719</v>
      </c>
      <c r="G20" s="38">
        <f>COUNTIF(Vertices[In-Degree],"&gt;= "&amp;F20)-COUNTIF(Vertices[In-Degree],"&gt;="&amp;F21)</f>
        <v>0</v>
      </c>
      <c r="H20" s="37">
        <f t="shared" si="3"/>
        <v>4.604651162790699</v>
      </c>
      <c r="I20" s="38">
        <f>COUNTIF(Vertices[Out-Degree],"&gt;= "&amp;H20)-COUNTIF(Vertices[Out-Degree],"&gt;="&amp;H21)</f>
        <v>0</v>
      </c>
      <c r="J20" s="37">
        <f t="shared" si="4"/>
        <v>54.41860465116281</v>
      </c>
      <c r="K20" s="38">
        <f>COUNTIF(Vertices[Betweenness Centrality],"&gt;= "&amp;J20)-COUNTIF(Vertices[Betweenness Centrality],"&gt;="&amp;J21)</f>
        <v>0</v>
      </c>
      <c r="L20" s="37">
        <f t="shared" si="5"/>
        <v>0.07245083720930237</v>
      </c>
      <c r="M20" s="38">
        <f>COUNTIF(Vertices[Closeness Centrality],"&gt;= "&amp;L20)-COUNTIF(Vertices[Closeness Centrality],"&gt;="&amp;L21)</f>
        <v>4</v>
      </c>
      <c r="N20" s="37">
        <f t="shared" si="6"/>
        <v>0.2762326046511628</v>
      </c>
      <c r="O20" s="38">
        <f>COUNTIF(Vertices[Eigenvector Centrality],"&gt;= "&amp;N20)-COUNTIF(Vertices[Eigenvector Centrality],"&gt;="&amp;N21)</f>
        <v>0</v>
      </c>
      <c r="P20" s="37">
        <f t="shared" si="7"/>
        <v>0.01911918604651161</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156</v>
      </c>
      <c r="B21" s="34">
        <v>1.765166</v>
      </c>
      <c r="D21" s="32">
        <f t="shared" si="1"/>
        <v>0</v>
      </c>
      <c r="E21" s="3">
        <f>COUNTIF(Vertices[Degree],"&gt;= "&amp;D21)-COUNTIF(Vertices[Degree],"&gt;="&amp;D22)</f>
        <v>0</v>
      </c>
      <c r="F21" s="39">
        <f t="shared" si="2"/>
        <v>1.325581395348837</v>
      </c>
      <c r="G21" s="40">
        <f>COUNTIF(Vertices[In-Degree],"&gt;= "&amp;F21)-COUNTIF(Vertices[In-Degree],"&gt;="&amp;F22)</f>
        <v>0</v>
      </c>
      <c r="H21" s="39">
        <f t="shared" si="3"/>
        <v>4.860465116279071</v>
      </c>
      <c r="I21" s="40">
        <f>COUNTIF(Vertices[Out-Degree],"&gt;= "&amp;H21)-COUNTIF(Vertices[Out-Degree],"&gt;="&amp;H22)</f>
        <v>3</v>
      </c>
      <c r="J21" s="39">
        <f t="shared" si="4"/>
        <v>57.4418604651163</v>
      </c>
      <c r="K21" s="40">
        <f>COUNTIF(Vertices[Betweenness Centrality],"&gt;= "&amp;J21)-COUNTIF(Vertices[Betweenness Centrality],"&gt;="&amp;J22)</f>
        <v>0</v>
      </c>
      <c r="L21" s="39">
        <f t="shared" si="5"/>
        <v>0.07647588372093028</v>
      </c>
      <c r="M21" s="40">
        <f>COUNTIF(Vertices[Closeness Centrality],"&gt;= "&amp;L21)-COUNTIF(Vertices[Closeness Centrality],"&gt;="&amp;L22)</f>
        <v>7</v>
      </c>
      <c r="N21" s="39">
        <f t="shared" si="6"/>
        <v>0.2915788604651163</v>
      </c>
      <c r="O21" s="40">
        <f>COUNTIF(Vertices[Eigenvector Centrality],"&gt;= "&amp;N21)-COUNTIF(Vertices[Eigenvector Centrality],"&gt;="&amp;N22)</f>
        <v>0</v>
      </c>
      <c r="P21" s="39">
        <f t="shared" si="7"/>
        <v>0.019434418604651144</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2"/>
      <c r="B22" s="102"/>
      <c r="D22" s="32">
        <f t="shared" si="1"/>
        <v>0</v>
      </c>
      <c r="E22" s="3">
        <f>COUNTIF(Vertices[Degree],"&gt;= "&amp;D22)-COUNTIF(Vertices[Degree],"&gt;="&amp;D23)</f>
        <v>0</v>
      </c>
      <c r="F22" s="37">
        <f t="shared" si="2"/>
        <v>1.395348837209302</v>
      </c>
      <c r="G22" s="38">
        <f>COUNTIF(Vertices[In-Degree],"&gt;= "&amp;F22)-COUNTIF(Vertices[In-Degree],"&gt;="&amp;F23)</f>
        <v>0</v>
      </c>
      <c r="H22" s="37">
        <f t="shared" si="3"/>
        <v>5.116279069767444</v>
      </c>
      <c r="I22" s="38">
        <f>COUNTIF(Vertices[Out-Degree],"&gt;= "&amp;H22)-COUNTIF(Vertices[Out-Degree],"&gt;="&amp;H23)</f>
        <v>0</v>
      </c>
      <c r="J22" s="37">
        <f t="shared" si="4"/>
        <v>60.46511627906979</v>
      </c>
      <c r="K22" s="38">
        <f>COUNTIF(Vertices[Betweenness Centrality],"&gt;= "&amp;J22)-COUNTIF(Vertices[Betweenness Centrality],"&gt;="&amp;J23)</f>
        <v>0</v>
      </c>
      <c r="L22" s="37">
        <f t="shared" si="5"/>
        <v>0.0805009302325582</v>
      </c>
      <c r="M22" s="38">
        <f>COUNTIF(Vertices[Closeness Centrality],"&gt;= "&amp;L22)-COUNTIF(Vertices[Closeness Centrality],"&gt;="&amp;L23)</f>
        <v>0</v>
      </c>
      <c r="N22" s="37">
        <f t="shared" si="6"/>
        <v>0.30692511627906977</v>
      </c>
      <c r="O22" s="38">
        <f>COUNTIF(Vertices[Eigenvector Centrality],"&gt;= "&amp;N22)-COUNTIF(Vertices[Eigenvector Centrality],"&gt;="&amp;N23)</f>
        <v>0</v>
      </c>
      <c r="P22" s="37">
        <f t="shared" si="7"/>
        <v>0.019749651162790677</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157</v>
      </c>
      <c r="B23" s="34">
        <v>0.0125</v>
      </c>
      <c r="D23" s="32">
        <f t="shared" si="1"/>
        <v>0</v>
      </c>
      <c r="E23" s="3">
        <f>COUNTIF(Vertices[Degree],"&gt;= "&amp;D23)-COUNTIF(Vertices[Degree],"&gt;="&amp;D24)</f>
        <v>0</v>
      </c>
      <c r="F23" s="39">
        <f t="shared" si="2"/>
        <v>1.465116279069767</v>
      </c>
      <c r="G23" s="40">
        <f>COUNTIF(Vertices[In-Degree],"&gt;= "&amp;F23)-COUNTIF(Vertices[In-Degree],"&gt;="&amp;F24)</f>
        <v>0</v>
      </c>
      <c r="H23" s="39">
        <f t="shared" si="3"/>
        <v>5.372093023255816</v>
      </c>
      <c r="I23" s="40">
        <f>COUNTIF(Vertices[Out-Degree],"&gt;= "&amp;H23)-COUNTIF(Vertices[Out-Degree],"&gt;="&amp;H24)</f>
        <v>0</v>
      </c>
      <c r="J23" s="39">
        <f t="shared" si="4"/>
        <v>63.48837209302328</v>
      </c>
      <c r="K23" s="40">
        <f>COUNTIF(Vertices[Betweenness Centrality],"&gt;= "&amp;J23)-COUNTIF(Vertices[Betweenness Centrality],"&gt;="&amp;J24)</f>
        <v>0</v>
      </c>
      <c r="L23" s="39">
        <f t="shared" si="5"/>
        <v>0.0845259767441861</v>
      </c>
      <c r="M23" s="40">
        <f>COUNTIF(Vertices[Closeness Centrality],"&gt;= "&amp;L23)-COUNTIF(Vertices[Closeness Centrality],"&gt;="&amp;L24)</f>
        <v>1</v>
      </c>
      <c r="N23" s="39">
        <f t="shared" si="6"/>
        <v>0.32227137209302326</v>
      </c>
      <c r="O23" s="40">
        <f>COUNTIF(Vertices[Eigenvector Centrality],"&gt;= "&amp;N23)-COUNTIF(Vertices[Eigenvector Centrality],"&gt;="&amp;N24)</f>
        <v>0</v>
      </c>
      <c r="P23" s="39">
        <f t="shared" si="7"/>
        <v>0.02006488372093021</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217</v>
      </c>
      <c r="B24" s="34">
        <v>0.453023</v>
      </c>
      <c r="D24" s="32">
        <f t="shared" si="1"/>
        <v>0</v>
      </c>
      <c r="E24" s="3">
        <f>COUNTIF(Vertices[Degree],"&gt;= "&amp;D24)-COUNTIF(Vertices[Degree],"&gt;="&amp;D25)</f>
        <v>0</v>
      </c>
      <c r="F24" s="37">
        <f t="shared" si="2"/>
        <v>1.534883720930232</v>
      </c>
      <c r="G24" s="38">
        <f>COUNTIF(Vertices[In-Degree],"&gt;= "&amp;F24)-COUNTIF(Vertices[In-Degree],"&gt;="&amp;F25)</f>
        <v>0</v>
      </c>
      <c r="H24" s="37">
        <f t="shared" si="3"/>
        <v>5.627906976744189</v>
      </c>
      <c r="I24" s="38">
        <f>COUNTIF(Vertices[Out-Degree],"&gt;= "&amp;H24)-COUNTIF(Vertices[Out-Degree],"&gt;="&amp;H25)</f>
        <v>0</v>
      </c>
      <c r="J24" s="37">
        <f t="shared" si="4"/>
        <v>66.51162790697677</v>
      </c>
      <c r="K24" s="38">
        <f>COUNTIF(Vertices[Betweenness Centrality],"&gt;= "&amp;J24)-COUNTIF(Vertices[Betweenness Centrality],"&gt;="&amp;J25)</f>
        <v>0</v>
      </c>
      <c r="L24" s="37">
        <f t="shared" si="5"/>
        <v>0.08855102325581402</v>
      </c>
      <c r="M24" s="38">
        <f>COUNTIF(Vertices[Closeness Centrality],"&gt;= "&amp;L24)-COUNTIF(Vertices[Closeness Centrality],"&gt;="&amp;L25)</f>
        <v>0</v>
      </c>
      <c r="N24" s="37">
        <f t="shared" si="6"/>
        <v>0.33761762790697675</v>
      </c>
      <c r="O24" s="38">
        <f>COUNTIF(Vertices[Eigenvector Centrality],"&gt;= "&amp;N24)-COUNTIF(Vertices[Eigenvector Centrality],"&gt;="&amp;N25)</f>
        <v>0</v>
      </c>
      <c r="P24" s="37">
        <f t="shared" si="7"/>
        <v>0.020380116279069743</v>
      </c>
      <c r="Q24" s="38">
        <f>COUNTIF(Vertices[PageRank],"&gt;= "&amp;P24)-COUNTIF(Vertices[PageRank],"&gt;="&amp;P25)</f>
        <v>1</v>
      </c>
      <c r="R24" s="37">
        <f t="shared" si="8"/>
        <v>0</v>
      </c>
      <c r="S24" s="43">
        <f>COUNTIF(Vertices[Clustering Coefficient],"&gt;= "&amp;R24)-COUNTIF(Vertices[Clustering Coefficient],"&gt;="&amp;R25)</f>
        <v>0</v>
      </c>
      <c r="T24" s="37" t="e">
        <f ca="1" t="shared" si="9"/>
        <v>#REF!</v>
      </c>
      <c r="U24" s="38" t="e">
        <f ca="1" t="shared" si="0"/>
        <v>#REF!</v>
      </c>
    </row>
    <row r="25" spans="1:21" ht="15">
      <c r="A25" s="102"/>
      <c r="B25" s="102"/>
      <c r="D25" s="32">
        <f t="shared" si="1"/>
        <v>0</v>
      </c>
      <c r="E25" s="3">
        <f>COUNTIF(Vertices[Degree],"&gt;= "&amp;D25)-COUNTIF(Vertices[Degree],"&gt;="&amp;D26)</f>
        <v>0</v>
      </c>
      <c r="F25" s="39">
        <f t="shared" si="2"/>
        <v>1.604651162790697</v>
      </c>
      <c r="G25" s="40">
        <f>COUNTIF(Vertices[In-Degree],"&gt;= "&amp;F25)-COUNTIF(Vertices[In-Degree],"&gt;="&amp;F26)</f>
        <v>0</v>
      </c>
      <c r="H25" s="39">
        <f t="shared" si="3"/>
        <v>5.8837209302325615</v>
      </c>
      <c r="I25" s="40">
        <f>COUNTIF(Vertices[Out-Degree],"&gt;= "&amp;H25)-COUNTIF(Vertices[Out-Degree],"&gt;="&amp;H26)</f>
        <v>1</v>
      </c>
      <c r="J25" s="39">
        <f t="shared" si="4"/>
        <v>69.53488372093025</v>
      </c>
      <c r="K25" s="40">
        <f>COUNTIF(Vertices[Betweenness Centrality],"&gt;= "&amp;J25)-COUNTIF(Vertices[Betweenness Centrality],"&gt;="&amp;J26)</f>
        <v>0</v>
      </c>
      <c r="L25" s="39">
        <f t="shared" si="5"/>
        <v>0.09257606976744193</v>
      </c>
      <c r="M25" s="40">
        <f>COUNTIF(Vertices[Closeness Centrality],"&gt;= "&amp;L25)-COUNTIF(Vertices[Closeness Centrality],"&gt;="&amp;L26)</f>
        <v>10</v>
      </c>
      <c r="N25" s="39">
        <f t="shared" si="6"/>
        <v>0.35296388372093024</v>
      </c>
      <c r="O25" s="40">
        <f>COUNTIF(Vertices[Eigenvector Centrality],"&gt;= "&amp;N25)-COUNTIF(Vertices[Eigenvector Centrality],"&gt;="&amp;N26)</f>
        <v>0</v>
      </c>
      <c r="P25" s="39">
        <f t="shared" si="7"/>
        <v>0.020695348837209276</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218</v>
      </c>
      <c r="B26" s="34" t="s">
        <v>2235</v>
      </c>
      <c r="D26" s="32">
        <f t="shared" si="1"/>
        <v>0</v>
      </c>
      <c r="E26" s="3">
        <f>COUNTIF(Vertices[Degree],"&gt;= "&amp;D26)-COUNTIF(Vertices[Degree],"&gt;="&amp;D27)</f>
        <v>0</v>
      </c>
      <c r="F26" s="37">
        <f t="shared" si="2"/>
        <v>1.674418604651162</v>
      </c>
      <c r="G26" s="38">
        <f>COUNTIF(Vertices[In-Degree],"&gt;= "&amp;F26)-COUNTIF(Vertices[In-Degree],"&gt;="&amp;F27)</f>
        <v>0</v>
      </c>
      <c r="H26" s="37">
        <f t="shared" si="3"/>
        <v>6.139534883720934</v>
      </c>
      <c r="I26" s="38">
        <f>COUNTIF(Vertices[Out-Degree],"&gt;= "&amp;H26)-COUNTIF(Vertices[Out-Degree],"&gt;="&amp;H27)</f>
        <v>0</v>
      </c>
      <c r="J26" s="37">
        <f t="shared" si="4"/>
        <v>72.55813953488374</v>
      </c>
      <c r="K26" s="38">
        <f>COUNTIF(Vertices[Betweenness Centrality],"&gt;= "&amp;J26)-COUNTIF(Vertices[Betweenness Centrality],"&gt;="&amp;J27)</f>
        <v>0</v>
      </c>
      <c r="L26" s="37">
        <f t="shared" si="5"/>
        <v>0.09660111627906984</v>
      </c>
      <c r="M26" s="38">
        <f>COUNTIF(Vertices[Closeness Centrality],"&gt;= "&amp;L26)-COUNTIF(Vertices[Closeness Centrality],"&gt;="&amp;L27)</f>
        <v>0</v>
      </c>
      <c r="N26" s="37">
        <f t="shared" si="6"/>
        <v>0.36831013953488373</v>
      </c>
      <c r="O26" s="38">
        <f>COUNTIF(Vertices[Eigenvector Centrality],"&gt;= "&amp;N26)-COUNTIF(Vertices[Eigenvector Centrality],"&gt;="&amp;N27)</f>
        <v>0</v>
      </c>
      <c r="P26" s="37">
        <f t="shared" si="7"/>
        <v>0.02101058139534881</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1:21" ht="15">
      <c r="A27" s="102"/>
      <c r="B27" s="102"/>
      <c r="D27" s="32">
        <f t="shared" si="1"/>
        <v>0</v>
      </c>
      <c r="E27" s="3">
        <f>COUNTIF(Vertices[Degree],"&gt;= "&amp;D27)-COUNTIF(Vertices[Degree],"&gt;="&amp;D28)</f>
        <v>0</v>
      </c>
      <c r="F27" s="39">
        <f t="shared" si="2"/>
        <v>1.744186046511627</v>
      </c>
      <c r="G27" s="40">
        <f>COUNTIF(Vertices[In-Degree],"&gt;= "&amp;F27)-COUNTIF(Vertices[In-Degree],"&gt;="&amp;F28)</f>
        <v>0</v>
      </c>
      <c r="H27" s="39">
        <f t="shared" si="3"/>
        <v>6.395348837209307</v>
      </c>
      <c r="I27" s="40">
        <f>COUNTIF(Vertices[Out-Degree],"&gt;= "&amp;H27)-COUNTIF(Vertices[Out-Degree],"&gt;="&amp;H28)</f>
        <v>0</v>
      </c>
      <c r="J27" s="39">
        <f t="shared" si="4"/>
        <v>75.58139534883722</v>
      </c>
      <c r="K27" s="40">
        <f>COUNTIF(Vertices[Betweenness Centrality],"&gt;= "&amp;J27)-COUNTIF(Vertices[Betweenness Centrality],"&gt;="&amp;J28)</f>
        <v>1</v>
      </c>
      <c r="L27" s="39">
        <f t="shared" si="5"/>
        <v>0.10062616279069775</v>
      </c>
      <c r="M27" s="40">
        <f>COUNTIF(Vertices[Closeness Centrality],"&gt;= "&amp;L27)-COUNTIF(Vertices[Closeness Centrality],"&gt;="&amp;L28)</f>
        <v>1</v>
      </c>
      <c r="N27" s="39">
        <f t="shared" si="6"/>
        <v>0.3836563953488372</v>
      </c>
      <c r="O27" s="40">
        <f>COUNTIF(Vertices[Eigenvector Centrality],"&gt;= "&amp;N27)-COUNTIF(Vertices[Eigenvector Centrality],"&gt;="&amp;N28)</f>
        <v>0</v>
      </c>
      <c r="P27" s="39">
        <f t="shared" si="7"/>
        <v>0.021325813953488343</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1:21" ht="15">
      <c r="A28" s="34" t="s">
        <v>677</v>
      </c>
      <c r="B28" s="34" t="s">
        <v>84</v>
      </c>
      <c r="D28" s="32">
        <f t="shared" si="1"/>
        <v>0</v>
      </c>
      <c r="E28" s="3">
        <f>COUNTIF(Vertices[Degree],"&gt;= "&amp;D28)-COUNTIF(Vertices[Degree],"&gt;="&amp;D29)</f>
        <v>0</v>
      </c>
      <c r="F28" s="37">
        <f t="shared" si="2"/>
        <v>1.813953488372092</v>
      </c>
      <c r="G28" s="38">
        <f>COUNTIF(Vertices[In-Degree],"&gt;= "&amp;F28)-COUNTIF(Vertices[In-Degree],"&gt;="&amp;F29)</f>
        <v>0</v>
      </c>
      <c r="H28" s="37">
        <f t="shared" si="3"/>
        <v>6.651162790697679</v>
      </c>
      <c r="I28" s="38">
        <f>COUNTIF(Vertices[Out-Degree],"&gt;= "&amp;H28)-COUNTIF(Vertices[Out-Degree],"&gt;="&amp;H29)</f>
        <v>0</v>
      </c>
      <c r="J28" s="37">
        <f t="shared" si="4"/>
        <v>78.6046511627907</v>
      </c>
      <c r="K28" s="38">
        <f>COUNTIF(Vertices[Betweenness Centrality],"&gt;= "&amp;J28)-COUNTIF(Vertices[Betweenness Centrality],"&gt;="&amp;J29)</f>
        <v>0</v>
      </c>
      <c r="L28" s="37">
        <f t="shared" si="5"/>
        <v>0.10465120930232566</v>
      </c>
      <c r="M28" s="38">
        <f>COUNTIF(Vertices[Closeness Centrality],"&gt;= "&amp;L28)-COUNTIF(Vertices[Closeness Centrality],"&gt;="&amp;L29)</f>
        <v>0</v>
      </c>
      <c r="N28" s="37">
        <f t="shared" si="6"/>
        <v>0.3990026511627907</v>
      </c>
      <c r="O28" s="38">
        <f>COUNTIF(Vertices[Eigenvector Centrality],"&gt;= "&amp;N28)-COUNTIF(Vertices[Eigenvector Centrality],"&gt;="&amp;N29)</f>
        <v>0</v>
      </c>
      <c r="P28" s="37">
        <f t="shared" si="7"/>
        <v>0.021641046511627876</v>
      </c>
      <c r="Q28" s="38">
        <f>COUNTIF(Vertices[PageRank],"&gt;= "&amp;P28)-COUNTIF(Vertices[PageRank],"&gt;="&amp;P29)</f>
        <v>1</v>
      </c>
      <c r="R28" s="37">
        <f t="shared" si="8"/>
        <v>0</v>
      </c>
      <c r="S28" s="43">
        <f>COUNTIF(Vertices[Clustering Coefficient],"&gt;= "&amp;R28)-COUNTIF(Vertices[Clustering Coefficient],"&gt;="&amp;R29)</f>
        <v>0</v>
      </c>
      <c r="T28" s="37" t="e">
        <f ca="1" t="shared" si="9"/>
        <v>#REF!</v>
      </c>
      <c r="U28" s="38" t="e">
        <f ca="1" t="shared" si="0"/>
        <v>#REF!</v>
      </c>
    </row>
    <row r="29" spans="1:21" ht="15">
      <c r="A29" s="34" t="s">
        <v>678</v>
      </c>
      <c r="B29" s="34" t="s">
        <v>84</v>
      </c>
      <c r="D29" s="32">
        <f t="shared" si="1"/>
        <v>0</v>
      </c>
      <c r="E29" s="3">
        <f>COUNTIF(Vertices[Degree],"&gt;= "&amp;D29)-COUNTIF(Vertices[Degree],"&gt;="&amp;D30)</f>
        <v>0</v>
      </c>
      <c r="F29" s="39">
        <f t="shared" si="2"/>
        <v>1.883720930232557</v>
      </c>
      <c r="G29" s="40">
        <f>COUNTIF(Vertices[In-Degree],"&gt;= "&amp;F29)-COUNTIF(Vertices[In-Degree],"&gt;="&amp;F30)</f>
        <v>0</v>
      </c>
      <c r="H29" s="39">
        <f t="shared" si="3"/>
        <v>6.906976744186052</v>
      </c>
      <c r="I29" s="40">
        <f>COUNTIF(Vertices[Out-Degree],"&gt;= "&amp;H29)-COUNTIF(Vertices[Out-Degree],"&gt;="&amp;H30)</f>
        <v>0</v>
      </c>
      <c r="J29" s="39">
        <f t="shared" si="4"/>
        <v>81.62790697674419</v>
      </c>
      <c r="K29" s="40">
        <f>COUNTIF(Vertices[Betweenness Centrality],"&gt;= "&amp;J29)-COUNTIF(Vertices[Betweenness Centrality],"&gt;="&amp;J30)</f>
        <v>0</v>
      </c>
      <c r="L29" s="39">
        <f t="shared" si="5"/>
        <v>0.10867625581395357</v>
      </c>
      <c r="M29" s="40">
        <f>COUNTIF(Vertices[Closeness Centrality],"&gt;= "&amp;L29)-COUNTIF(Vertices[Closeness Centrality],"&gt;="&amp;L30)</f>
        <v>1</v>
      </c>
      <c r="N29" s="39">
        <f t="shared" si="6"/>
        <v>0.4143489069767442</v>
      </c>
      <c r="O29" s="40">
        <f>COUNTIF(Vertices[Eigenvector Centrality],"&gt;= "&amp;N29)-COUNTIF(Vertices[Eigenvector Centrality],"&gt;="&amp;N30)</f>
        <v>0</v>
      </c>
      <c r="P29" s="39">
        <f t="shared" si="7"/>
        <v>0.02195627906976741</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79"/>
      <c r="B30" s="79"/>
      <c r="D30" s="32">
        <f t="shared" si="1"/>
        <v>0</v>
      </c>
      <c r="E30" s="3">
        <f>COUNTIF(Vertices[Degree],"&gt;= "&amp;D30)-COUNTIF(Vertices[Degree],"&gt;="&amp;D31)</f>
        <v>0</v>
      </c>
      <c r="F30" s="37">
        <f t="shared" si="2"/>
        <v>1.953488372093022</v>
      </c>
      <c r="G30" s="38">
        <f>COUNTIF(Vertices[In-Degree],"&gt;= "&amp;F30)-COUNTIF(Vertices[In-Degree],"&gt;="&amp;F31)</f>
        <v>21</v>
      </c>
      <c r="H30" s="37">
        <f t="shared" si="3"/>
        <v>7.162790697674424</v>
      </c>
      <c r="I30" s="38">
        <f>COUNTIF(Vertices[Out-Degree],"&gt;= "&amp;H30)-COUNTIF(Vertices[Out-Degree],"&gt;="&amp;H31)</f>
        <v>0</v>
      </c>
      <c r="J30" s="37">
        <f t="shared" si="4"/>
        <v>84.65116279069767</v>
      </c>
      <c r="K30" s="38">
        <f>COUNTIF(Vertices[Betweenness Centrality],"&gt;= "&amp;J30)-COUNTIF(Vertices[Betweenness Centrality],"&gt;="&amp;J31)</f>
        <v>0</v>
      </c>
      <c r="L30" s="37">
        <f t="shared" si="5"/>
        <v>0.11270130232558148</v>
      </c>
      <c r="M30" s="38">
        <f>COUNTIF(Vertices[Closeness Centrality],"&gt;= "&amp;L30)-COUNTIF(Vertices[Closeness Centrality],"&gt;="&amp;L31)</f>
        <v>0</v>
      </c>
      <c r="N30" s="37">
        <f t="shared" si="6"/>
        <v>0.4296951627906977</v>
      </c>
      <c r="O30" s="38">
        <f>COUNTIF(Vertices[Eigenvector Centrality],"&gt;= "&amp;N30)-COUNTIF(Vertices[Eigenvector Centrality],"&gt;="&amp;N31)</f>
        <v>0</v>
      </c>
      <c r="P30" s="37">
        <f t="shared" si="7"/>
        <v>0.022271511627906942</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0"/>
        <v>#REF!</v>
      </c>
    </row>
    <row r="31" spans="1:21" ht="15">
      <c r="A31" s="34" t="s">
        <v>679</v>
      </c>
      <c r="B31" s="34" t="s">
        <v>2236</v>
      </c>
      <c r="D31" s="32">
        <f t="shared" si="1"/>
        <v>0</v>
      </c>
      <c r="E31" s="3">
        <f>COUNTIF(Vertices[Degree],"&gt;= "&amp;D31)-COUNTIF(Vertices[Degree],"&gt;="&amp;D32)</f>
        <v>0</v>
      </c>
      <c r="F31" s="39">
        <f t="shared" si="2"/>
        <v>2.023255813953487</v>
      </c>
      <c r="G31" s="40">
        <f>COUNTIF(Vertices[In-Degree],"&gt;= "&amp;F31)-COUNTIF(Vertices[In-Degree],"&gt;="&amp;F32)</f>
        <v>0</v>
      </c>
      <c r="H31" s="39">
        <f t="shared" si="3"/>
        <v>7.418604651162797</v>
      </c>
      <c r="I31" s="40">
        <f>COUNTIF(Vertices[Out-Degree],"&gt;= "&amp;H31)-COUNTIF(Vertices[Out-Degree],"&gt;="&amp;H32)</f>
        <v>0</v>
      </c>
      <c r="J31" s="39">
        <f t="shared" si="4"/>
        <v>87.67441860465115</v>
      </c>
      <c r="K31" s="40">
        <f>COUNTIF(Vertices[Betweenness Centrality],"&gt;= "&amp;J31)-COUNTIF(Vertices[Betweenness Centrality],"&gt;="&amp;J32)</f>
        <v>0</v>
      </c>
      <c r="L31" s="39">
        <f t="shared" si="5"/>
        <v>0.11672634883720939</v>
      </c>
      <c r="M31" s="40">
        <f>COUNTIF(Vertices[Closeness Centrality],"&gt;= "&amp;L31)-COUNTIF(Vertices[Closeness Centrality],"&gt;="&amp;L32)</f>
        <v>0</v>
      </c>
      <c r="N31" s="39">
        <f t="shared" si="6"/>
        <v>0.4450414186046512</v>
      </c>
      <c r="O31" s="40">
        <f>COUNTIF(Vertices[Eigenvector Centrality],"&gt;= "&amp;N31)-COUNTIF(Vertices[Eigenvector Centrality],"&gt;="&amp;N32)</f>
        <v>0</v>
      </c>
      <c r="P31" s="39">
        <f t="shared" si="7"/>
        <v>0.022586744186046476</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1:21" ht="15">
      <c r="A32" s="34" t="s">
        <v>680</v>
      </c>
      <c r="B32" s="34" t="s">
        <v>333</v>
      </c>
      <c r="D32" s="32">
        <f t="shared" si="1"/>
        <v>0</v>
      </c>
      <c r="E32" s="3">
        <f>COUNTIF(Vertices[Degree],"&gt;= "&amp;D32)-COUNTIF(Vertices[Degree],"&gt;="&amp;D33)</f>
        <v>0</v>
      </c>
      <c r="F32" s="37">
        <f t="shared" si="2"/>
        <v>2.0930232558139523</v>
      </c>
      <c r="G32" s="38">
        <f>COUNTIF(Vertices[In-Degree],"&gt;= "&amp;F32)-COUNTIF(Vertices[In-Degree],"&gt;="&amp;F33)</f>
        <v>0</v>
      </c>
      <c r="H32" s="37">
        <f t="shared" si="3"/>
        <v>7.674418604651169</v>
      </c>
      <c r="I32" s="38">
        <f>COUNTIF(Vertices[Out-Degree],"&gt;= "&amp;H32)-COUNTIF(Vertices[Out-Degree],"&gt;="&amp;H33)</f>
        <v>0</v>
      </c>
      <c r="J32" s="37">
        <f t="shared" si="4"/>
        <v>90.69767441860463</v>
      </c>
      <c r="K32" s="38">
        <f>COUNTIF(Vertices[Betweenness Centrality],"&gt;= "&amp;J32)-COUNTIF(Vertices[Betweenness Centrality],"&gt;="&amp;J33)</f>
        <v>0</v>
      </c>
      <c r="L32" s="37">
        <f t="shared" si="5"/>
        <v>0.1207513953488373</v>
      </c>
      <c r="M32" s="38">
        <f>COUNTIF(Vertices[Closeness Centrality],"&gt;= "&amp;L32)-COUNTIF(Vertices[Closeness Centrality],"&gt;="&amp;L33)</f>
        <v>0</v>
      </c>
      <c r="N32" s="37">
        <f t="shared" si="6"/>
        <v>0.4603876744186047</v>
      </c>
      <c r="O32" s="38">
        <f>COUNTIF(Vertices[Eigenvector Centrality],"&gt;= "&amp;N32)-COUNTIF(Vertices[Eigenvector Centrality],"&gt;="&amp;N33)</f>
        <v>0</v>
      </c>
      <c r="P32" s="37">
        <f t="shared" si="7"/>
        <v>0.02290197674418601</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1:21" ht="15">
      <c r="A33" s="34" t="s">
        <v>681</v>
      </c>
      <c r="B33" s="34" t="s">
        <v>2237</v>
      </c>
      <c r="D33" s="32">
        <f t="shared" si="1"/>
        <v>0</v>
      </c>
      <c r="E33" s="3">
        <f>COUNTIF(Vertices[Degree],"&gt;= "&amp;D33)-COUNTIF(Vertices[Degree],"&gt;="&amp;D34)</f>
        <v>0</v>
      </c>
      <c r="F33" s="39">
        <f t="shared" si="2"/>
        <v>2.1627906976744176</v>
      </c>
      <c r="G33" s="40">
        <f>COUNTIF(Vertices[In-Degree],"&gt;= "&amp;F33)-COUNTIF(Vertices[In-Degree],"&gt;="&amp;F34)</f>
        <v>0</v>
      </c>
      <c r="H33" s="39">
        <f t="shared" si="3"/>
        <v>7.930232558139542</v>
      </c>
      <c r="I33" s="40">
        <f>COUNTIF(Vertices[Out-Degree],"&gt;= "&amp;H33)-COUNTIF(Vertices[Out-Degree],"&gt;="&amp;H34)</f>
        <v>0</v>
      </c>
      <c r="J33" s="39">
        <f t="shared" si="4"/>
        <v>93.72093023255812</v>
      </c>
      <c r="K33" s="40">
        <f>COUNTIF(Vertices[Betweenness Centrality],"&gt;= "&amp;J33)-COUNTIF(Vertices[Betweenness Centrality],"&gt;="&amp;J34)</f>
        <v>0</v>
      </c>
      <c r="L33" s="39">
        <f t="shared" si="5"/>
        <v>0.12477644186046521</v>
      </c>
      <c r="M33" s="40">
        <f>COUNTIF(Vertices[Closeness Centrality],"&gt;= "&amp;L33)-COUNTIF(Vertices[Closeness Centrality],"&gt;="&amp;L34)</f>
        <v>0</v>
      </c>
      <c r="N33" s="39">
        <f t="shared" si="6"/>
        <v>0.47573393023255817</v>
      </c>
      <c r="O33" s="40">
        <f>COUNTIF(Vertices[Eigenvector Centrality],"&gt;= "&amp;N33)-COUNTIF(Vertices[Eigenvector Centrality],"&gt;="&amp;N34)</f>
        <v>0</v>
      </c>
      <c r="P33" s="39">
        <f t="shared" si="7"/>
        <v>0.023217209302325542</v>
      </c>
      <c r="Q33" s="40">
        <f>COUNTIF(Vertices[PageRank],"&gt;= "&amp;P33)-COUNTIF(Vertices[PageRank],"&gt;="&amp;P34)</f>
        <v>1</v>
      </c>
      <c r="R33" s="39">
        <f t="shared" si="8"/>
        <v>0</v>
      </c>
      <c r="S33" s="44">
        <f>COUNTIF(Vertices[Clustering Coefficient],"&gt;= "&amp;R33)-COUNTIF(Vertices[Clustering Coefficient],"&gt;="&amp;R34)</f>
        <v>0</v>
      </c>
      <c r="T33" s="39" t="e">
        <f ca="1" t="shared" si="9"/>
        <v>#REF!</v>
      </c>
      <c r="U33" s="40" t="e">
        <f ca="1" t="shared" si="0"/>
        <v>#REF!</v>
      </c>
    </row>
    <row r="34" spans="1:21" ht="15">
      <c r="A34" s="34" t="s">
        <v>682</v>
      </c>
      <c r="B34" s="34" t="s">
        <v>84</v>
      </c>
      <c r="D34" s="32">
        <f t="shared" si="1"/>
        <v>0</v>
      </c>
      <c r="E34" s="3">
        <f>COUNTIF(Vertices[Degree],"&gt;= "&amp;D34)-COUNTIF(Vertices[Degree],"&gt;="&amp;D35)</f>
        <v>0</v>
      </c>
      <c r="F34" s="37">
        <f t="shared" si="2"/>
        <v>2.232558139534883</v>
      </c>
      <c r="G34" s="38">
        <f>COUNTIF(Vertices[In-Degree],"&gt;= "&amp;F34)-COUNTIF(Vertices[In-Degree],"&gt;="&amp;F35)</f>
        <v>0</v>
      </c>
      <c r="H34" s="37">
        <f t="shared" si="3"/>
        <v>8.186046511627914</v>
      </c>
      <c r="I34" s="38">
        <f>COUNTIF(Vertices[Out-Degree],"&gt;= "&amp;H34)-COUNTIF(Vertices[Out-Degree],"&gt;="&amp;H35)</f>
        <v>0</v>
      </c>
      <c r="J34" s="37">
        <f t="shared" si="4"/>
        <v>96.7441860465116</v>
      </c>
      <c r="K34" s="38">
        <f>COUNTIF(Vertices[Betweenness Centrality],"&gt;= "&amp;J34)-COUNTIF(Vertices[Betweenness Centrality],"&gt;="&amp;J35)</f>
        <v>0</v>
      </c>
      <c r="L34" s="37">
        <f t="shared" si="5"/>
        <v>0.12880148837209313</v>
      </c>
      <c r="M34" s="38">
        <f>COUNTIF(Vertices[Closeness Centrality],"&gt;= "&amp;L34)-COUNTIF(Vertices[Closeness Centrality],"&gt;="&amp;L35)</f>
        <v>1</v>
      </c>
      <c r="N34" s="37">
        <f t="shared" si="6"/>
        <v>0.49108018604651166</v>
      </c>
      <c r="O34" s="38">
        <f>COUNTIF(Vertices[Eigenvector Centrality],"&gt;= "&amp;N34)-COUNTIF(Vertices[Eigenvector Centrality],"&gt;="&amp;N35)</f>
        <v>0</v>
      </c>
      <c r="P34" s="37">
        <f t="shared" si="7"/>
        <v>0.023532441860465075</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1:21" ht="15">
      <c r="A35" s="34" t="s">
        <v>683</v>
      </c>
      <c r="B35" s="34" t="s">
        <v>2238</v>
      </c>
      <c r="D35" s="32">
        <f t="shared" si="1"/>
        <v>0</v>
      </c>
      <c r="E35" s="3">
        <f>COUNTIF(Vertices[Degree],"&gt;= "&amp;D35)-COUNTIF(Vertices[Degree],"&gt;="&amp;D36)</f>
        <v>0</v>
      </c>
      <c r="F35" s="39">
        <f t="shared" si="2"/>
        <v>2.302325581395348</v>
      </c>
      <c r="G35" s="40">
        <f>COUNTIF(Vertices[In-Degree],"&gt;= "&amp;F35)-COUNTIF(Vertices[In-Degree],"&gt;="&amp;F36)</f>
        <v>0</v>
      </c>
      <c r="H35" s="39">
        <f t="shared" si="3"/>
        <v>8.441860465116287</v>
      </c>
      <c r="I35" s="40">
        <f>COUNTIF(Vertices[Out-Degree],"&gt;= "&amp;H35)-COUNTIF(Vertices[Out-Degree],"&gt;="&amp;H36)</f>
        <v>0</v>
      </c>
      <c r="J35" s="39">
        <f t="shared" si="4"/>
        <v>99.76744186046508</v>
      </c>
      <c r="K35" s="40">
        <f>COUNTIF(Vertices[Betweenness Centrality],"&gt;= "&amp;J35)-COUNTIF(Vertices[Betweenness Centrality],"&gt;="&amp;J36)</f>
        <v>0</v>
      </c>
      <c r="L35" s="39">
        <f t="shared" si="5"/>
        <v>0.13282653488372104</v>
      </c>
      <c r="M35" s="40">
        <f>COUNTIF(Vertices[Closeness Centrality],"&gt;= "&amp;L35)-COUNTIF(Vertices[Closeness Centrality],"&gt;="&amp;L36)</f>
        <v>0</v>
      </c>
      <c r="N35" s="39">
        <f t="shared" si="6"/>
        <v>0.5064264418604651</v>
      </c>
      <c r="O35" s="40">
        <f>COUNTIF(Vertices[Eigenvector Centrality],"&gt;= "&amp;N35)-COUNTIF(Vertices[Eigenvector Centrality],"&gt;="&amp;N36)</f>
        <v>0</v>
      </c>
      <c r="P35" s="39">
        <f t="shared" si="7"/>
        <v>0.02384767441860461</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1:21" ht="15">
      <c r="A36" s="34" t="s">
        <v>684</v>
      </c>
      <c r="B36" s="34" t="s">
        <v>84</v>
      </c>
      <c r="D36" s="32">
        <f t="shared" si="1"/>
        <v>0</v>
      </c>
      <c r="E36" s="3">
        <f>COUNTIF(Vertices[Degree],"&gt;= "&amp;D36)-COUNTIF(Vertices[Degree],"&gt;="&amp;D37)</f>
        <v>0</v>
      </c>
      <c r="F36" s="37">
        <f t="shared" si="2"/>
        <v>2.3720930232558133</v>
      </c>
      <c r="G36" s="38">
        <f>COUNTIF(Vertices[In-Degree],"&gt;= "&amp;F36)-COUNTIF(Vertices[In-Degree],"&gt;="&amp;F37)</f>
        <v>0</v>
      </c>
      <c r="H36" s="37">
        <f t="shared" si="3"/>
        <v>8.69767441860466</v>
      </c>
      <c r="I36" s="38">
        <f>COUNTIF(Vertices[Out-Degree],"&gt;= "&amp;H36)-COUNTIF(Vertices[Out-Degree],"&gt;="&amp;H37)</f>
        <v>0</v>
      </c>
      <c r="J36" s="37">
        <f t="shared" si="4"/>
        <v>102.79069767441857</v>
      </c>
      <c r="K36" s="38">
        <f>COUNTIF(Vertices[Betweenness Centrality],"&gt;= "&amp;J36)-COUNTIF(Vertices[Betweenness Centrality],"&gt;="&amp;J37)</f>
        <v>0</v>
      </c>
      <c r="L36" s="37">
        <f t="shared" si="5"/>
        <v>0.13685158139534895</v>
      </c>
      <c r="M36" s="38">
        <f>COUNTIF(Vertices[Closeness Centrality],"&gt;= "&amp;L36)-COUNTIF(Vertices[Closeness Centrality],"&gt;="&amp;L37)</f>
        <v>0</v>
      </c>
      <c r="N36" s="37">
        <f t="shared" si="6"/>
        <v>0.5217726976744186</v>
      </c>
      <c r="O36" s="38">
        <f>COUNTIF(Vertices[Eigenvector Centrality],"&gt;= "&amp;N36)-COUNTIF(Vertices[Eigenvector Centrality],"&gt;="&amp;N37)</f>
        <v>0</v>
      </c>
      <c r="P36" s="37">
        <f t="shared" si="7"/>
        <v>0.024162906976744142</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1:21" ht="15">
      <c r="A37" s="34" t="s">
        <v>685</v>
      </c>
      <c r="B37" s="34" t="s">
        <v>84</v>
      </c>
      <c r="D37" s="32">
        <f t="shared" si="1"/>
        <v>0</v>
      </c>
      <c r="E37" s="3">
        <f>COUNTIF(Vertices[Degree],"&gt;= "&amp;D37)-COUNTIF(Vertices[Degree],"&gt;="&amp;D38)</f>
        <v>0</v>
      </c>
      <c r="F37" s="39">
        <f t="shared" si="2"/>
        <v>2.4418604651162785</v>
      </c>
      <c r="G37" s="40">
        <f>COUNTIF(Vertices[In-Degree],"&gt;= "&amp;F37)-COUNTIF(Vertices[In-Degree],"&gt;="&amp;F38)</f>
        <v>0</v>
      </c>
      <c r="H37" s="39">
        <f t="shared" si="3"/>
        <v>8.953488372093032</v>
      </c>
      <c r="I37" s="40">
        <f>COUNTIF(Vertices[Out-Degree],"&gt;= "&amp;H37)-COUNTIF(Vertices[Out-Degree],"&gt;="&amp;H38)</f>
        <v>0</v>
      </c>
      <c r="J37" s="39">
        <f t="shared" si="4"/>
        <v>105.81395348837205</v>
      </c>
      <c r="K37" s="40">
        <f>COUNTIF(Vertices[Betweenness Centrality],"&gt;= "&amp;J37)-COUNTIF(Vertices[Betweenness Centrality],"&gt;="&amp;J38)</f>
        <v>0</v>
      </c>
      <c r="L37" s="39">
        <f t="shared" si="5"/>
        <v>0.14087662790697686</v>
      </c>
      <c r="M37" s="40">
        <f>COUNTIF(Vertices[Closeness Centrality],"&gt;= "&amp;L37)-COUNTIF(Vertices[Closeness Centrality],"&gt;="&amp;L38)</f>
        <v>0</v>
      </c>
      <c r="N37" s="39">
        <f t="shared" si="6"/>
        <v>0.537118953488372</v>
      </c>
      <c r="O37" s="40">
        <f>COUNTIF(Vertices[Eigenvector Centrality],"&gt;= "&amp;N37)-COUNTIF(Vertices[Eigenvector Centrality],"&gt;="&amp;N38)</f>
        <v>0</v>
      </c>
      <c r="P37" s="39">
        <f t="shared" si="7"/>
        <v>0.024478139534883675</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1:21" ht="15">
      <c r="A38" s="34" t="s">
        <v>686</v>
      </c>
      <c r="B38" s="34" t="s">
        <v>84</v>
      </c>
      <c r="D38" s="32">
        <f t="shared" si="1"/>
        <v>0</v>
      </c>
      <c r="E38" s="3">
        <f>COUNTIF(Vertices[Degree],"&gt;= "&amp;D38)-COUNTIF(Vertices[Degree],"&gt;="&amp;D39)</f>
        <v>0</v>
      </c>
      <c r="F38" s="37">
        <f t="shared" si="2"/>
        <v>2.5116279069767438</v>
      </c>
      <c r="G38" s="38">
        <f>COUNTIF(Vertices[In-Degree],"&gt;= "&amp;F38)-COUNTIF(Vertices[In-Degree],"&gt;="&amp;F39)</f>
        <v>0</v>
      </c>
      <c r="H38" s="37">
        <f t="shared" si="3"/>
        <v>9.209302325581405</v>
      </c>
      <c r="I38" s="38">
        <f>COUNTIF(Vertices[Out-Degree],"&gt;= "&amp;H38)-COUNTIF(Vertices[Out-Degree],"&gt;="&amp;H39)</f>
        <v>0</v>
      </c>
      <c r="J38" s="37">
        <f t="shared" si="4"/>
        <v>108.83720930232553</v>
      </c>
      <c r="K38" s="38">
        <f>COUNTIF(Vertices[Betweenness Centrality],"&gt;= "&amp;J38)-COUNTIF(Vertices[Betweenness Centrality],"&gt;="&amp;J39)</f>
        <v>1</v>
      </c>
      <c r="L38" s="37">
        <f t="shared" si="5"/>
        <v>0.14490167441860477</v>
      </c>
      <c r="M38" s="38">
        <f>COUNTIF(Vertices[Closeness Centrality],"&gt;= "&amp;L38)-COUNTIF(Vertices[Closeness Centrality],"&gt;="&amp;L39)</f>
        <v>0</v>
      </c>
      <c r="N38" s="37">
        <f t="shared" si="6"/>
        <v>0.5524652093023255</v>
      </c>
      <c r="O38" s="38">
        <f>COUNTIF(Vertices[Eigenvector Centrality],"&gt;= "&amp;N38)-COUNTIF(Vertices[Eigenvector Centrality],"&gt;="&amp;N39)</f>
        <v>0</v>
      </c>
      <c r="P38" s="37">
        <f t="shared" si="7"/>
        <v>0.024793372093023208</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1:21" ht="15">
      <c r="A39" s="34" t="s">
        <v>687</v>
      </c>
      <c r="B39" s="34" t="s">
        <v>84</v>
      </c>
      <c r="D39" s="32">
        <f t="shared" si="1"/>
        <v>0</v>
      </c>
      <c r="E39" s="3">
        <f>COUNTIF(Vertices[Degree],"&gt;= "&amp;D39)-COUNTIF(Vertices[Degree],"&gt;="&amp;D40)</f>
        <v>0</v>
      </c>
      <c r="F39" s="39">
        <f t="shared" si="2"/>
        <v>2.581395348837209</v>
      </c>
      <c r="G39" s="40">
        <f>COUNTIF(Vertices[In-Degree],"&gt;= "&amp;F39)-COUNTIF(Vertices[In-Degree],"&gt;="&amp;F40)</f>
        <v>0</v>
      </c>
      <c r="H39" s="39">
        <f t="shared" si="3"/>
        <v>9.465116279069777</v>
      </c>
      <c r="I39" s="40">
        <f>COUNTIF(Vertices[Out-Degree],"&gt;= "&amp;H39)-COUNTIF(Vertices[Out-Degree],"&gt;="&amp;H40)</f>
        <v>0</v>
      </c>
      <c r="J39" s="39">
        <f t="shared" si="4"/>
        <v>111.86046511627902</v>
      </c>
      <c r="K39" s="40">
        <f>COUNTIF(Vertices[Betweenness Centrality],"&gt;= "&amp;J39)-COUNTIF(Vertices[Betweenness Centrality],"&gt;="&amp;J40)</f>
        <v>0</v>
      </c>
      <c r="L39" s="39">
        <f t="shared" si="5"/>
        <v>0.14892672093023268</v>
      </c>
      <c r="M39" s="40">
        <f>COUNTIF(Vertices[Closeness Centrality],"&gt;= "&amp;L39)-COUNTIF(Vertices[Closeness Centrality],"&gt;="&amp;L40)</f>
        <v>0</v>
      </c>
      <c r="N39" s="39">
        <f t="shared" si="6"/>
        <v>0.5678114651162789</v>
      </c>
      <c r="O39" s="40">
        <f>COUNTIF(Vertices[Eigenvector Centrality],"&gt;= "&amp;N39)-COUNTIF(Vertices[Eigenvector Centrality],"&gt;="&amp;N40)</f>
        <v>0</v>
      </c>
      <c r="P39" s="39">
        <f t="shared" si="7"/>
        <v>0.02510860465116274</v>
      </c>
      <c r="Q39" s="40">
        <f>COUNTIF(Vertices[PageRank],"&gt;= "&amp;P39)-COUNTIF(Vertices[PageRank],"&gt;="&amp;P40)</f>
        <v>1</v>
      </c>
      <c r="R39" s="39">
        <f t="shared" si="8"/>
        <v>0</v>
      </c>
      <c r="S39" s="44">
        <f>COUNTIF(Vertices[Clustering Coefficient],"&gt;= "&amp;R39)-COUNTIF(Vertices[Clustering Coefficient],"&gt;="&amp;R40)</f>
        <v>0</v>
      </c>
      <c r="T39" s="39" t="e">
        <f ca="1" t="shared" si="9"/>
        <v>#REF!</v>
      </c>
      <c r="U39" s="40" t="e">
        <f ca="1" t="shared" si="0"/>
        <v>#REF!</v>
      </c>
    </row>
    <row r="40" spans="1:21" ht="15">
      <c r="A40" s="34" t="s">
        <v>21</v>
      </c>
      <c r="B40" s="34" t="s">
        <v>84</v>
      </c>
      <c r="D40" s="32">
        <f t="shared" si="1"/>
        <v>0</v>
      </c>
      <c r="E40" s="3">
        <f>COUNTIF(Vertices[Degree],"&gt;= "&amp;D40)-COUNTIF(Vertices[Degree],"&gt;="&amp;D41)</f>
        <v>0</v>
      </c>
      <c r="F40" s="37">
        <f t="shared" si="2"/>
        <v>2.6511627906976742</v>
      </c>
      <c r="G40" s="38">
        <f>COUNTIF(Vertices[In-Degree],"&gt;= "&amp;F40)-COUNTIF(Vertices[In-Degree],"&gt;="&amp;F41)</f>
        <v>0</v>
      </c>
      <c r="H40" s="37">
        <f t="shared" si="3"/>
        <v>9.72093023255815</v>
      </c>
      <c r="I40" s="38">
        <f>COUNTIF(Vertices[Out-Degree],"&gt;= "&amp;H40)-COUNTIF(Vertices[Out-Degree],"&gt;="&amp;H41)</f>
        <v>0</v>
      </c>
      <c r="J40" s="37">
        <f t="shared" si="4"/>
        <v>114.8837209302325</v>
      </c>
      <c r="K40" s="38">
        <f>COUNTIF(Vertices[Betweenness Centrality],"&gt;= "&amp;J40)-COUNTIF(Vertices[Betweenness Centrality],"&gt;="&amp;J41)</f>
        <v>0</v>
      </c>
      <c r="L40" s="37">
        <f t="shared" si="5"/>
        <v>0.1529517674418606</v>
      </c>
      <c r="M40" s="38">
        <f>COUNTIF(Vertices[Closeness Centrality],"&gt;= "&amp;L40)-COUNTIF(Vertices[Closeness Centrality],"&gt;="&amp;L41)</f>
        <v>0</v>
      </c>
      <c r="N40" s="37">
        <f t="shared" si="6"/>
        <v>0.5831577209302323</v>
      </c>
      <c r="O40" s="38">
        <f>COUNTIF(Vertices[Eigenvector Centrality],"&gt;= "&amp;N40)-COUNTIF(Vertices[Eigenvector Centrality],"&gt;="&amp;N41)</f>
        <v>0</v>
      </c>
      <c r="P40" s="37">
        <f t="shared" si="7"/>
        <v>0.025423837209302275</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1:21" ht="15">
      <c r="A41" s="34" t="s">
        <v>688</v>
      </c>
      <c r="B41" s="34" t="s">
        <v>84</v>
      </c>
      <c r="D41" s="32">
        <f t="shared" si="1"/>
        <v>0</v>
      </c>
      <c r="E41" s="3">
        <f>COUNTIF(Vertices[Degree],"&gt;= "&amp;D41)-COUNTIF(Vertices[Degree],"&gt;="&amp;D42)</f>
        <v>0</v>
      </c>
      <c r="F41" s="39">
        <f t="shared" si="2"/>
        <v>2.7209302325581395</v>
      </c>
      <c r="G41" s="40">
        <f>COUNTIF(Vertices[In-Degree],"&gt;= "&amp;F41)-COUNTIF(Vertices[In-Degree],"&gt;="&amp;F42)</f>
        <v>0</v>
      </c>
      <c r="H41" s="39">
        <f t="shared" si="3"/>
        <v>9.976744186046522</v>
      </c>
      <c r="I41" s="40">
        <f>COUNTIF(Vertices[Out-Degree],"&gt;= "&amp;H41)-COUNTIF(Vertices[Out-Degree],"&gt;="&amp;H42)</f>
        <v>0</v>
      </c>
      <c r="J41" s="39">
        <f t="shared" si="4"/>
        <v>117.90697674418598</v>
      </c>
      <c r="K41" s="40">
        <f>COUNTIF(Vertices[Betweenness Centrality],"&gt;= "&amp;J41)-COUNTIF(Vertices[Betweenness Centrality],"&gt;="&amp;J42)</f>
        <v>0</v>
      </c>
      <c r="L41" s="39">
        <f t="shared" si="5"/>
        <v>0.1569768139534885</v>
      </c>
      <c r="M41" s="40">
        <f>COUNTIF(Vertices[Closeness Centrality],"&gt;= "&amp;L41)-COUNTIF(Vertices[Closeness Centrality],"&gt;="&amp;L42)</f>
        <v>0</v>
      </c>
      <c r="N41" s="39">
        <f t="shared" si="6"/>
        <v>0.5985039767441858</v>
      </c>
      <c r="O41" s="40">
        <f>COUNTIF(Vertices[Eigenvector Centrality],"&gt;= "&amp;N41)-COUNTIF(Vertices[Eigenvector Centrality],"&gt;="&amp;N42)</f>
        <v>0</v>
      </c>
      <c r="P41" s="39">
        <f t="shared" si="7"/>
        <v>0.025739069767441808</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1:21" ht="15">
      <c r="A42" s="34" t="s">
        <v>689</v>
      </c>
      <c r="B42" s="34" t="s">
        <v>84</v>
      </c>
      <c r="D42" s="32">
        <f t="shared" si="1"/>
        <v>0</v>
      </c>
      <c r="E42" s="3">
        <f>COUNTIF(Vertices[Degree],"&gt;= "&amp;D42)-COUNTIF(Vertices[Degree],"&gt;="&amp;D43)</f>
        <v>0</v>
      </c>
      <c r="F42" s="37">
        <f t="shared" si="2"/>
        <v>2.7906976744186047</v>
      </c>
      <c r="G42" s="38">
        <f>COUNTIF(Vertices[In-Degree],"&gt;= "&amp;F42)-COUNTIF(Vertices[In-Degree],"&gt;="&amp;F43)</f>
        <v>0</v>
      </c>
      <c r="H42" s="37">
        <f t="shared" si="3"/>
        <v>10.232558139534895</v>
      </c>
      <c r="I42" s="38">
        <f>COUNTIF(Vertices[Out-Degree],"&gt;= "&amp;H42)-COUNTIF(Vertices[Out-Degree],"&gt;="&amp;H43)</f>
        <v>0</v>
      </c>
      <c r="J42" s="37">
        <f t="shared" si="4"/>
        <v>120.93023255813947</v>
      </c>
      <c r="K42" s="38">
        <f>COUNTIF(Vertices[Betweenness Centrality],"&gt;= "&amp;J42)-COUNTIF(Vertices[Betweenness Centrality],"&gt;="&amp;J43)</f>
        <v>0</v>
      </c>
      <c r="L42" s="37">
        <f t="shared" si="5"/>
        <v>0.16100186046511641</v>
      </c>
      <c r="M42" s="38">
        <f>COUNTIF(Vertices[Closeness Centrality],"&gt;= "&amp;L42)-COUNTIF(Vertices[Closeness Centrality],"&gt;="&amp;L43)</f>
        <v>0</v>
      </c>
      <c r="N42" s="37">
        <f t="shared" si="6"/>
        <v>0.6138502325581392</v>
      </c>
      <c r="O42" s="38">
        <f>COUNTIF(Vertices[Eigenvector Centrality],"&gt;= "&amp;N42)-COUNTIF(Vertices[Eigenvector Centrality],"&gt;="&amp;N43)</f>
        <v>0</v>
      </c>
      <c r="P42" s="37">
        <f t="shared" si="7"/>
        <v>0.02605430232558134</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s="34" t="s">
        <v>690</v>
      </c>
      <c r="B43" s="34" t="s">
        <v>84</v>
      </c>
      <c r="D43" s="32">
        <f t="shared" si="1"/>
        <v>0</v>
      </c>
      <c r="E43" s="3">
        <f>COUNTIF(Vertices[Degree],"&gt;= "&amp;D43)-COUNTIF(Vertices[Degree],"&gt;="&amp;D44)</f>
        <v>0</v>
      </c>
      <c r="F43" s="39">
        <f t="shared" si="2"/>
        <v>2.86046511627907</v>
      </c>
      <c r="G43" s="40">
        <f>COUNTIF(Vertices[In-Degree],"&gt;= "&amp;F43)-COUNTIF(Vertices[In-Degree],"&gt;="&amp;F44)</f>
        <v>0</v>
      </c>
      <c r="H43" s="39">
        <f t="shared" si="3"/>
        <v>10.488372093023267</v>
      </c>
      <c r="I43" s="40">
        <f>COUNTIF(Vertices[Out-Degree],"&gt;= "&amp;H43)-COUNTIF(Vertices[Out-Degree],"&gt;="&amp;H44)</f>
        <v>0</v>
      </c>
      <c r="J43" s="39">
        <f t="shared" si="4"/>
        <v>123.95348837209295</v>
      </c>
      <c r="K43" s="40">
        <f>COUNTIF(Vertices[Betweenness Centrality],"&gt;= "&amp;J43)-COUNTIF(Vertices[Betweenness Centrality],"&gt;="&amp;J44)</f>
        <v>0</v>
      </c>
      <c r="L43" s="39">
        <f t="shared" si="5"/>
        <v>0.16502690697674433</v>
      </c>
      <c r="M43" s="40">
        <f>COUNTIF(Vertices[Closeness Centrality],"&gt;= "&amp;L43)-COUNTIF(Vertices[Closeness Centrality],"&gt;="&amp;L44)</f>
        <v>0</v>
      </c>
      <c r="N43" s="39">
        <f t="shared" si="6"/>
        <v>0.6291964883720926</v>
      </c>
      <c r="O43" s="40">
        <f>COUNTIF(Vertices[Eigenvector Centrality],"&gt;= "&amp;N43)-COUNTIF(Vertices[Eigenvector Centrality],"&gt;="&amp;N44)</f>
        <v>0</v>
      </c>
      <c r="P43" s="39">
        <f t="shared" si="7"/>
        <v>0.026369534883720874</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t="s">
        <v>81</v>
      </c>
      <c r="B44" s="46" t="str">
        <f>IF(COUNT(Vertices[Degree])&gt;0,D45,NoMetricMessage)</f>
        <v>Not Available</v>
      </c>
      <c r="D44" s="32">
        <f t="shared" si="1"/>
        <v>0</v>
      </c>
      <c r="E44" s="3">
        <f>COUNTIF(Vertices[Degree],"&gt;= "&amp;D44)-COUNTIF(Vertices[Degree],"&gt;="&amp;D45)</f>
        <v>0</v>
      </c>
      <c r="F44" s="37">
        <f t="shared" si="2"/>
        <v>2.930232558139535</v>
      </c>
      <c r="G44" s="38">
        <f>COUNTIF(Vertices[In-Degree],"&gt;= "&amp;F44)-COUNTIF(Vertices[In-Degree],"&gt;="&amp;F45)</f>
        <v>0</v>
      </c>
      <c r="H44" s="37">
        <f t="shared" si="3"/>
        <v>10.74418604651164</v>
      </c>
      <c r="I44" s="38">
        <f>COUNTIF(Vertices[Out-Degree],"&gt;= "&amp;H44)-COUNTIF(Vertices[Out-Degree],"&gt;="&amp;H45)</f>
        <v>0</v>
      </c>
      <c r="J44" s="37">
        <f t="shared" si="4"/>
        <v>126.97674418604643</v>
      </c>
      <c r="K44" s="38">
        <f>COUNTIF(Vertices[Betweenness Centrality],"&gt;= "&amp;J44)-COUNTIF(Vertices[Betweenness Centrality],"&gt;="&amp;J45)</f>
        <v>0</v>
      </c>
      <c r="L44" s="37">
        <f t="shared" si="5"/>
        <v>0.16905195348837224</v>
      </c>
      <c r="M44" s="38">
        <f>COUNTIF(Vertices[Closeness Centrality],"&gt;= "&amp;L44)-COUNTIF(Vertices[Closeness Centrality],"&gt;="&amp;L45)</f>
        <v>0</v>
      </c>
      <c r="N44" s="37">
        <f t="shared" si="6"/>
        <v>0.6445427441860461</v>
      </c>
      <c r="O44" s="38">
        <f>COUNTIF(Vertices[Eigenvector Centrality],"&gt;= "&amp;N44)-COUNTIF(Vertices[Eigenvector Centrality],"&gt;="&amp;N45)</f>
        <v>0</v>
      </c>
      <c r="P44" s="37">
        <f t="shared" si="7"/>
        <v>0.026684767441860407</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1:21" ht="15">
      <c r="A45" s="33" t="s">
        <v>82</v>
      </c>
      <c r="B45" s="47" t="str">
        <f>_xlfn.IFERROR(AVERAGE(Vertices[Degree]),NoMetricMessage)</f>
        <v>Not Available</v>
      </c>
      <c r="D45" s="32">
        <f>MAX(Vertices[Degree])</f>
        <v>0</v>
      </c>
      <c r="E45" s="3">
        <f>COUNTIF(Vertices[Degree],"&gt;= "&amp;D45)-COUNTIF(Vertices[Degree],"&gt;="&amp;D46)</f>
        <v>0</v>
      </c>
      <c r="F45" s="41">
        <f>MAX(Vertices[In-Degree])</f>
        <v>3</v>
      </c>
      <c r="G45" s="42">
        <f>COUNTIF(Vertices[In-Degree],"&gt;= "&amp;F45)-COUNTIF(Vertices[In-Degree],"&gt;="&amp;F46)</f>
        <v>1</v>
      </c>
      <c r="H45" s="41">
        <f>MAX(Vertices[Out-Degree])</f>
        <v>11</v>
      </c>
      <c r="I45" s="42">
        <f>COUNTIF(Vertices[Out-Degree],"&gt;= "&amp;H45)-COUNTIF(Vertices[Out-Degree],"&gt;="&amp;H46)</f>
        <v>1</v>
      </c>
      <c r="J45" s="41">
        <f>MAX(Vertices[Betweenness Centrality])</f>
        <v>130</v>
      </c>
      <c r="K45" s="42">
        <f>COUNTIF(Vertices[Betweenness Centrality],"&gt;= "&amp;J45)-COUNTIF(Vertices[Betweenness Centrality],"&gt;="&amp;J46)</f>
        <v>1</v>
      </c>
      <c r="L45" s="41">
        <f>MAX(Vertices[Closeness Centrality])</f>
        <v>0.173077</v>
      </c>
      <c r="M45" s="42">
        <f>COUNTIF(Vertices[Closeness Centrality],"&gt;= "&amp;L45)-COUNTIF(Vertices[Closeness Centrality],"&gt;="&amp;L46)</f>
        <v>1</v>
      </c>
      <c r="N45" s="41">
        <f>MAX(Vertices[Eigenvector Centrality])</f>
        <v>0.659889</v>
      </c>
      <c r="O45" s="42">
        <f>COUNTIF(Vertices[Eigenvector Centrality],"&gt;= "&amp;N45)-COUNTIF(Vertices[Eigenvector Centrality],"&gt;="&amp;N46)</f>
        <v>1</v>
      </c>
      <c r="P45" s="41">
        <f>MAX(Vertices[PageRank])</f>
        <v>0.027</v>
      </c>
      <c r="Q45" s="42">
        <f>COUNTIF(Vertices[PageRank],"&gt;= "&amp;P45)-COUNTIF(Vertices[PageRank],"&gt;="&amp;P46)</f>
        <v>1</v>
      </c>
      <c r="R45" s="41">
        <f>MAX(Vertices[Clustering Coefficient])</f>
        <v>0</v>
      </c>
      <c r="S45" s="45">
        <f>COUNTIF(Vertices[Clustering Coefficient],"&gt;= "&amp;R45)-COUNTIF(Vertices[Clustering Coefficient],"&gt;="&amp;R46)</f>
        <v>65</v>
      </c>
      <c r="T45" s="41" t="e">
        <f ca="1">MAX(INDIRECT(DynamicFilterSourceColumnRange))</f>
        <v>#REF!</v>
      </c>
      <c r="U45" s="42" t="e">
        <f ca="1" t="shared" si="0"/>
        <v>#REF!</v>
      </c>
    </row>
    <row r="46" spans="1:2" ht="15">
      <c r="A46" s="33" t="s">
        <v>83</v>
      </c>
      <c r="B46" s="47" t="str">
        <f>_xlfn.IFERROR(MEDIAN(Vertices[Degree]),NoMetricMessage)</f>
        <v>Not Available</v>
      </c>
    </row>
    <row r="57" spans="1:2" ht="15">
      <c r="A57" s="33" t="s">
        <v>87</v>
      </c>
      <c r="B57" s="46">
        <f>IF(COUNT(Vertices[In-Degree])&gt;0,F2,NoMetricMessage)</f>
        <v>0</v>
      </c>
    </row>
    <row r="58" spans="1:2" ht="15">
      <c r="A58" s="33" t="s">
        <v>88</v>
      </c>
      <c r="B58" s="46">
        <f>IF(COUNT(Vertices[In-Degree])&gt;0,F45,NoMetricMessage)</f>
        <v>3</v>
      </c>
    </row>
    <row r="59" spans="1:2" ht="15">
      <c r="A59" s="33" t="s">
        <v>89</v>
      </c>
      <c r="B59" s="47">
        <f>_xlfn.IFERROR(AVERAGE(Vertices[In-Degree]),NoMetricMessage)</f>
        <v>1.1846153846153846</v>
      </c>
    </row>
    <row r="60" spans="1:2" ht="15">
      <c r="A60" s="33" t="s">
        <v>90</v>
      </c>
      <c r="B60" s="47">
        <f>_xlfn.IFERROR(MEDIAN(Vertices[In-Degree]),NoMetricMessage)</f>
        <v>1</v>
      </c>
    </row>
    <row r="71" spans="1:2" ht="15">
      <c r="A71" s="33" t="s">
        <v>93</v>
      </c>
      <c r="B71" s="46">
        <f>IF(COUNT(Vertices[Out-Degree])&gt;0,H2,NoMetricMessage)</f>
        <v>0</v>
      </c>
    </row>
    <row r="72" spans="1:2" ht="15">
      <c r="A72" s="33" t="s">
        <v>94</v>
      </c>
      <c r="B72" s="46">
        <f>IF(COUNT(Vertices[Out-Degree])&gt;0,H45,NoMetricMessage)</f>
        <v>11</v>
      </c>
    </row>
    <row r="73" spans="1:2" ht="15">
      <c r="A73" s="33" t="s">
        <v>95</v>
      </c>
      <c r="B73" s="47">
        <f>_xlfn.IFERROR(AVERAGE(Vertices[Out-Degree]),NoMetricMessage)</f>
        <v>1.1846153846153846</v>
      </c>
    </row>
    <row r="74" spans="1:2" ht="15">
      <c r="A74" s="33" t="s">
        <v>96</v>
      </c>
      <c r="B74" s="47">
        <f>_xlfn.IFERROR(MEDIAN(Vertices[Out-Degree]),NoMetricMessage)</f>
        <v>1</v>
      </c>
    </row>
    <row r="85" spans="1:2" ht="15">
      <c r="A85" s="33" t="s">
        <v>99</v>
      </c>
      <c r="B85" s="47">
        <f>IF(COUNT(Vertices[Betweenness Centrality])&gt;0,J2,NoMetricMessage)</f>
        <v>0</v>
      </c>
    </row>
    <row r="86" spans="1:2" ht="15">
      <c r="A86" s="33" t="s">
        <v>100</v>
      </c>
      <c r="B86" s="47">
        <f>IF(COUNT(Vertices[Betweenness Centrality])&gt;0,J45,NoMetricMessage)</f>
        <v>130</v>
      </c>
    </row>
    <row r="87" spans="1:2" ht="15">
      <c r="A87" s="33" t="s">
        <v>101</v>
      </c>
      <c r="B87" s="47">
        <f>_xlfn.IFERROR(AVERAGE(Vertices[Betweenness Centrality]),NoMetricMessage)</f>
        <v>7.015384615384615</v>
      </c>
    </row>
    <row r="88" spans="1:2" ht="15">
      <c r="A88" s="33" t="s">
        <v>102</v>
      </c>
      <c r="B88" s="47">
        <f>_xlfn.IFERROR(MEDIAN(Vertices[Betweenness Centrality]),NoMetricMessage)</f>
        <v>0</v>
      </c>
    </row>
    <row r="99" spans="1:2" ht="15">
      <c r="A99" s="33" t="s">
        <v>105</v>
      </c>
      <c r="B99" s="47">
        <f>IF(COUNT(Vertices[Closeness Centrality])&gt;0,L2,NoMetricMessage)</f>
        <v>0</v>
      </c>
    </row>
    <row r="100" spans="1:2" ht="15">
      <c r="A100" s="33" t="s">
        <v>106</v>
      </c>
      <c r="B100" s="47">
        <f>IF(COUNT(Vertices[Closeness Centrality])&gt;0,L45,NoMetricMessage)</f>
        <v>0.173077</v>
      </c>
    </row>
    <row r="101" spans="1:2" ht="15">
      <c r="A101" s="33" t="s">
        <v>107</v>
      </c>
      <c r="B101" s="47">
        <f>_xlfn.IFERROR(AVERAGE(Vertices[Closeness Centrality]),NoMetricMessage)</f>
        <v>0.056725230769230764</v>
      </c>
    </row>
    <row r="102" spans="1:2" ht="15">
      <c r="A102" s="33" t="s">
        <v>108</v>
      </c>
      <c r="B102" s="47">
        <f>_xlfn.IFERROR(MEDIAN(Vertices[Closeness Centrality]),NoMetricMessage)</f>
        <v>0.043403</v>
      </c>
    </row>
    <row r="113" spans="1:2" ht="15">
      <c r="A113" s="33" t="s">
        <v>111</v>
      </c>
      <c r="B113" s="47">
        <f>IF(COUNT(Vertices[Eigenvector Centrality])&gt;0,N2,NoMetricMessage)</f>
        <v>0</v>
      </c>
    </row>
    <row r="114" spans="1:2" ht="15">
      <c r="A114" s="33" t="s">
        <v>112</v>
      </c>
      <c r="B114" s="47">
        <f>IF(COUNT(Vertices[Eigenvector Centrality])&gt;0,N45,NoMetricMessage)</f>
        <v>0.659889</v>
      </c>
    </row>
    <row r="115" spans="1:2" ht="15">
      <c r="A115" s="33" t="s">
        <v>113</v>
      </c>
      <c r="B115" s="47">
        <f>_xlfn.IFERROR(AVERAGE(Vertices[Eigenvector Centrality]),NoMetricMessage)</f>
        <v>0.04892687692307694</v>
      </c>
    </row>
    <row r="116" spans="1:2" ht="15">
      <c r="A116" s="33" t="s">
        <v>114</v>
      </c>
      <c r="B116" s="47">
        <f>_xlfn.IFERROR(MEDIAN(Vertices[Eigenvector Centrality]),NoMetricMessage)</f>
        <v>0</v>
      </c>
    </row>
    <row r="127" spans="1:2" ht="15">
      <c r="A127" s="33" t="s">
        <v>139</v>
      </c>
      <c r="B127" s="47">
        <f>IF(COUNT(Vertices[PageRank])&gt;0,P2,NoMetricMessage)</f>
        <v>0.013445</v>
      </c>
    </row>
    <row r="128" spans="1:2" ht="15">
      <c r="A128" s="33" t="s">
        <v>140</v>
      </c>
      <c r="B128" s="47">
        <f>IF(COUNT(Vertices[PageRank])&gt;0,P45,NoMetricMessage)</f>
        <v>0.027</v>
      </c>
    </row>
    <row r="129" spans="1:2" ht="15">
      <c r="A129" s="33" t="s">
        <v>141</v>
      </c>
      <c r="B129" s="47">
        <f>_xlfn.IFERROR(AVERAGE(Vertices[PageRank]),NoMetricMessage)</f>
        <v>0.015384615384615384</v>
      </c>
    </row>
    <row r="130" spans="1:2" ht="15">
      <c r="A130" s="33" t="s">
        <v>142</v>
      </c>
      <c r="B130" s="47">
        <f>_xlfn.IFERROR(MEDIAN(Vertices[PageRank]),NoMetricMessage)</f>
        <v>0.014535</v>
      </c>
    </row>
    <row r="141" spans="1:2" ht="15">
      <c r="A141" s="33" t="s">
        <v>117</v>
      </c>
      <c r="B141" s="47">
        <f>IF(COUNT(Vertices[Clustering Coefficient])&gt;0,R2,NoMetricMessage)</f>
        <v>0</v>
      </c>
    </row>
    <row r="142" spans="1:2" ht="15">
      <c r="A142" s="33" t="s">
        <v>118</v>
      </c>
      <c r="B142" s="47">
        <f>IF(COUNT(Vertices[Clustering Coefficient])&gt;0,R45,NoMetricMessage)</f>
        <v>0</v>
      </c>
    </row>
    <row r="143" spans="1:2" ht="15">
      <c r="A143" s="33" t="s">
        <v>119</v>
      </c>
      <c r="B143" s="47">
        <f>_xlfn.IFERROR(AVERAGE(Vertices[Clustering Coefficient]),NoMetricMessage)</f>
        <v>0</v>
      </c>
    </row>
    <row r="144" spans="1:2" ht="15">
      <c r="A144" s="33" t="s">
        <v>120</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162</v>
      </c>
      <c r="F1" s="5" t="s">
        <v>167</v>
      </c>
      <c r="G1" s="4" t="s">
        <v>14</v>
      </c>
      <c r="H1" s="4" t="s">
        <v>67</v>
      </c>
      <c r="J1" s="4" t="s">
        <v>18</v>
      </c>
      <c r="K1" s="4" t="s">
        <v>17</v>
      </c>
      <c r="M1" s="4" t="s">
        <v>22</v>
      </c>
      <c r="N1" s="4" t="s">
        <v>23</v>
      </c>
      <c r="O1" s="4" t="s">
        <v>24</v>
      </c>
      <c r="P1" s="4" t="s">
        <v>25</v>
      </c>
    </row>
    <row r="2" spans="1:11" ht="15">
      <c r="A2" s="1" t="s">
        <v>51</v>
      </c>
      <c r="B2" s="1" t="s">
        <v>131</v>
      </c>
      <c r="C2" t="s">
        <v>54</v>
      </c>
      <c r="D2" t="s">
        <v>55</v>
      </c>
      <c r="E2" t="s">
        <v>55</v>
      </c>
      <c r="F2" s="1" t="s">
        <v>51</v>
      </c>
      <c r="G2" t="s">
        <v>65</v>
      </c>
      <c r="H2" t="s">
        <v>158</v>
      </c>
      <c r="J2" t="s">
        <v>19</v>
      </c>
      <c r="K2">
        <v>108</v>
      </c>
    </row>
    <row r="3" spans="1:11" ht="15">
      <c r="A3" s="1" t="s">
        <v>52</v>
      </c>
      <c r="B3" s="1" t="s">
        <v>132</v>
      </c>
      <c r="C3" t="s">
        <v>52</v>
      </c>
      <c r="D3" t="s">
        <v>56</v>
      </c>
      <c r="E3" t="s">
        <v>56</v>
      </c>
      <c r="F3" s="1" t="s">
        <v>52</v>
      </c>
      <c r="G3" t="s">
        <v>66</v>
      </c>
      <c r="H3" t="s">
        <v>68</v>
      </c>
      <c r="J3" t="s">
        <v>30</v>
      </c>
      <c r="K3" t="s">
        <v>178</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170</v>
      </c>
      <c r="K5" s="13" t="s">
        <v>298</v>
      </c>
    </row>
    <row r="6" spans="1:18" ht="409.5">
      <c r="A6">
        <v>0</v>
      </c>
      <c r="B6" s="1" t="s">
        <v>135</v>
      </c>
      <c r="C6">
        <v>1</v>
      </c>
      <c r="D6" t="s">
        <v>59</v>
      </c>
      <c r="E6" t="s">
        <v>59</v>
      </c>
      <c r="F6">
        <v>0</v>
      </c>
      <c r="H6" t="s">
        <v>71</v>
      </c>
      <c r="J6" t="s">
        <v>171</v>
      </c>
      <c r="K6" s="13" t="s">
        <v>299</v>
      </c>
      <c r="R6" t="s">
        <v>128</v>
      </c>
    </row>
    <row r="7" spans="1:11" ht="409.5">
      <c r="A7">
        <v>2</v>
      </c>
      <c r="B7">
        <v>1</v>
      </c>
      <c r="C7">
        <v>0</v>
      </c>
      <c r="D7" t="s">
        <v>60</v>
      </c>
      <c r="E7" t="s">
        <v>60</v>
      </c>
      <c r="F7">
        <v>2</v>
      </c>
      <c r="H7" t="s">
        <v>72</v>
      </c>
      <c r="J7" t="s">
        <v>172</v>
      </c>
      <c r="K7" s="13" t="s">
        <v>300</v>
      </c>
    </row>
    <row r="8" spans="1:11" ht="409.5">
      <c r="A8"/>
      <c r="B8">
        <v>2</v>
      </c>
      <c r="C8">
        <v>2</v>
      </c>
      <c r="D8" t="s">
        <v>61</v>
      </c>
      <c r="E8" t="s">
        <v>61</v>
      </c>
      <c r="H8" t="s">
        <v>73</v>
      </c>
      <c r="J8" t="s">
        <v>173</v>
      </c>
      <c r="K8" s="13" t="s">
        <v>301</v>
      </c>
    </row>
    <row r="9" spans="1:11" ht="409.5">
      <c r="A9"/>
      <c r="B9">
        <v>3</v>
      </c>
      <c r="C9">
        <v>4</v>
      </c>
      <c r="D9" t="s">
        <v>62</v>
      </c>
      <c r="E9" t="s">
        <v>62</v>
      </c>
      <c r="H9" t="s">
        <v>74</v>
      </c>
      <c r="J9" t="s">
        <v>174</v>
      </c>
      <c r="K9" s="13" t="s">
        <v>302</v>
      </c>
    </row>
    <row r="10" spans="1:11" ht="409.5">
      <c r="A10"/>
      <c r="B10">
        <v>4</v>
      </c>
      <c r="D10" t="s">
        <v>63</v>
      </c>
      <c r="E10" t="s">
        <v>63</v>
      </c>
      <c r="H10" t="s">
        <v>75</v>
      </c>
      <c r="J10" t="s">
        <v>175</v>
      </c>
      <c r="K10" s="97" t="s">
        <v>303</v>
      </c>
    </row>
    <row r="11" spans="1:11" ht="409.5">
      <c r="A11"/>
      <c r="B11">
        <v>5</v>
      </c>
      <c r="D11" t="s">
        <v>46</v>
      </c>
      <c r="E11">
        <v>1</v>
      </c>
      <c r="H11" t="s">
        <v>76</v>
      </c>
      <c r="J11" t="s">
        <v>176</v>
      </c>
      <c r="K11" s="13" t="s">
        <v>651</v>
      </c>
    </row>
    <row r="12" spans="1:11" ht="15">
      <c r="A12"/>
      <c r="B12"/>
      <c r="D12" t="s">
        <v>64</v>
      </c>
      <c r="E12">
        <v>2</v>
      </c>
      <c r="H12">
        <v>0</v>
      </c>
      <c r="J12" t="s">
        <v>177</v>
      </c>
      <c r="K12">
        <v>7</v>
      </c>
    </row>
    <row r="13" spans="1:11" ht="15">
      <c r="A13"/>
      <c r="B13"/>
      <c r="D13">
        <v>1</v>
      </c>
      <c r="E13">
        <v>3</v>
      </c>
      <c r="H13">
        <v>1</v>
      </c>
      <c r="J13" t="s">
        <v>179</v>
      </c>
      <c r="K13" t="s">
        <v>2250</v>
      </c>
    </row>
    <row r="14" spans="4:11" ht="409.5">
      <c r="D14">
        <v>2</v>
      </c>
      <c r="E14">
        <v>4</v>
      </c>
      <c r="H14">
        <v>2</v>
      </c>
      <c r="J14" t="s">
        <v>180</v>
      </c>
      <c r="K14" s="13" t="s">
        <v>2251</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219</v>
      </c>
      <c r="B2" s="81" t="s">
        <v>220</v>
      </c>
      <c r="C2" s="52" t="s">
        <v>221</v>
      </c>
    </row>
    <row r="3" spans="1:3" ht="15">
      <c r="A3" s="80" t="s">
        <v>692</v>
      </c>
      <c r="B3" s="80" t="s">
        <v>692</v>
      </c>
      <c r="C3" s="34">
        <v>51</v>
      </c>
    </row>
    <row r="4" spans="1:3" ht="15">
      <c r="A4" s="80" t="s">
        <v>693</v>
      </c>
      <c r="B4" s="126" t="s">
        <v>693</v>
      </c>
      <c r="C4" s="34">
        <v>22</v>
      </c>
    </row>
    <row r="5" spans="1:3" ht="15">
      <c r="A5" s="80" t="s">
        <v>804</v>
      </c>
      <c r="B5" s="126" t="s">
        <v>804</v>
      </c>
      <c r="C5" s="34">
        <v>12</v>
      </c>
    </row>
    <row r="6" spans="1:3" ht="15">
      <c r="A6" s="80" t="s">
        <v>805</v>
      </c>
      <c r="B6" s="126" t="s">
        <v>805</v>
      </c>
      <c r="C6" s="34">
        <v>11</v>
      </c>
    </row>
    <row r="7" spans="1:3" ht="15">
      <c r="A7" s="80" t="s">
        <v>806</v>
      </c>
      <c r="B7" s="126" t="s">
        <v>806</v>
      </c>
      <c r="C7" s="34">
        <v>5</v>
      </c>
    </row>
    <row r="8" spans="1:3" ht="15">
      <c r="A8" s="80" t="s">
        <v>807</v>
      </c>
      <c r="B8" s="126" t="s">
        <v>693</v>
      </c>
      <c r="C8" s="34">
        <v>2</v>
      </c>
    </row>
    <row r="9" spans="1:3" ht="15">
      <c r="A9" s="80" t="s">
        <v>807</v>
      </c>
      <c r="B9" s="126" t="s">
        <v>807</v>
      </c>
      <c r="C9" s="34">
        <v>8</v>
      </c>
    </row>
    <row r="10" spans="1:3" ht="15">
      <c r="A10" s="80" t="s">
        <v>808</v>
      </c>
      <c r="B10" s="126" t="s">
        <v>808</v>
      </c>
      <c r="C10" s="34">
        <v>6</v>
      </c>
    </row>
    <row r="11" spans="1:3" ht="15">
      <c r="A11" s="80" t="s">
        <v>809</v>
      </c>
      <c r="B11" s="126" t="s">
        <v>809</v>
      </c>
      <c r="C11" s="34">
        <v>2</v>
      </c>
    </row>
    <row r="12" spans="1:3" ht="15">
      <c r="A12" s="80" t="s">
        <v>810</v>
      </c>
      <c r="B12" s="126" t="s">
        <v>810</v>
      </c>
      <c r="C12" s="34">
        <v>2</v>
      </c>
    </row>
    <row r="13" spans="1:3" ht="15">
      <c r="A13" s="80" t="s">
        <v>811</v>
      </c>
      <c r="B13" s="126" t="s">
        <v>811</v>
      </c>
      <c r="C13" s="34">
        <v>1</v>
      </c>
    </row>
    <row r="14" spans="1:3" ht="15">
      <c r="A14" s="80" t="s">
        <v>812</v>
      </c>
      <c r="B14" s="126" t="s">
        <v>812</v>
      </c>
      <c r="C14" s="34">
        <v>1</v>
      </c>
    </row>
    <row r="15" spans="1:3" ht="15">
      <c r="A15" s="80" t="s">
        <v>813</v>
      </c>
      <c r="B15" s="126" t="s">
        <v>813</v>
      </c>
      <c r="C15" s="34">
        <v>2</v>
      </c>
    </row>
    <row r="16" spans="1:3" ht="15">
      <c r="A16" s="80" t="s">
        <v>814</v>
      </c>
      <c r="B16" s="126" t="s">
        <v>814</v>
      </c>
      <c r="C16" s="34">
        <v>2</v>
      </c>
    </row>
    <row r="17" spans="1:3" ht="15">
      <c r="A17" s="127" t="s">
        <v>815</v>
      </c>
      <c r="B17" s="126" t="s">
        <v>815</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2023-09-13T16:42:59Z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