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3231"/>
  <workbookPr codeName="ThisWorkbook" defaultThemeVersion="124226"/>
  <bookViews>
    <workbookView xWindow="65416" yWindow="65416" windowWidth="29040" windowHeight="15840" activeTab="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r:id="rId7"/>
    <sheet name="Export Options" sheetId="8" r:id="rId8"/>
    <sheet name="Top Items" sheetId="9" r:id="rId9"/>
    <sheet name="Group Edges" sheetId="10" r:id="rId10"/>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81029"/>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<sst xmlns="http://schemas.openxmlformats.org/spreadsheetml/2006/main" count="613" uniqueCount="329">
  <si>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</si>
  <si>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</si>
  <si>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</si>
  <si>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</si>
  <si>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</si>
  <si>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</si>
  <si>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</si>
  <si>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</si>
  <si>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</si>
  <si>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</si>
  <si>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</si>
  <si>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</si>
  <si>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</si>
  <si>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</si>
  <si>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</si>
  <si>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</si>
  <si>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</si>
  <si>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</si>
  <si>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</si>
  <si>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</si>
  <si>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</si>
  <si>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</si>
  <si>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</si>
  <si>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</si>
  <si>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</si>
  <si>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</si>
  <si>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</si>
  <si>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</si>
  <si>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</si>
  <si>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</si>
  <si>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</si>
  <si>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</si>
  <si>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</si>
  <si>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</si>
  <si>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</si>
  <si>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</si>
  <si>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</si>
  <si>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</si>
  <si>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</si>
  <si>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</si>
  <si>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</si>
  <si>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</si>
  <si>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</si>
  <si>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</si>
  <si>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</si>
  <si>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</si>
  <si>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</si>
  <si>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</si>
  <si>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</si>
  <si>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</si>
  <si>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</si>
  <si>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</si>
  <si>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</si>
  <si>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</si>
  <si>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</si>
  <si>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</si>
  <si>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</si>
  <si>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</si>
  <si>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</si>
  <si>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</si>
  <si>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</si>
  <si>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</si>
  <si>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</si>
  <si>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</si>
  <si>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</si>
  <si>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</si>
  <si>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</si>
  <si>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</si>
  <si>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</si>
  <si>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</si>
  <si>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</si>
  <si>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</si>
  <si>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</si>
  <si>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</si>
  <si>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</si>
  <si>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</si>
  <si>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</si>
  <si>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</si>
  <si>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</si>
  <si>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</si>
  <si>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</si>
  <si>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</si>
  <si>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</si>
  <si>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</si>
  <si>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</si>
  <si>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</si>
  <si>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</si>
  <si>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</si>
  <si>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</si>
  <si>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</si>
  <si>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</si>
  <si>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</si>
  <si>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</si>
  <si>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</si>
  <si>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</si>
  <si>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</si>
  <si>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</si>
  <si>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</si>
  <si>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</si>
  <si>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</si>
  <si>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</si>
  <si>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</si>
  <si>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</si>
  <si>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</si>
  <si>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</si>
  <si>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</si>
  <si>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</si>
  <si>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</si>
  <si>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</si>
  <si>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</si>
  <si>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</si>
  <si>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</si>
  <si>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</si>
  <si>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</si>
  <si>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</si>
  <si>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</si>
  <si>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</si>
  <si>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</si>
  <si>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</si>
  <si>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</si>
  <si>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</si>
  <si>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</si>
  <si>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</si>
  <si>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</si>
  <si>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</si>
  <si>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</si>
  <si>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</si>
  <si>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</si>
  <si>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</si>
  <si>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</si>
  <si>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</si>
  <si>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</si>
  <si>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</si>
  <si>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</si>
  <si>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</si>
  <si>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</si>
  <si>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</si>
  <si>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</si>
  <si>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</si>
  <si>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</si>
  <si>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</si>
  <si>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</si>
  <si>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</si>
  <si>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</si>
  <si>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</si>
  <si>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</si>
  <si>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</si>
  <si>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</si>
  <si>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</si>
  <si>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</si>
  <si>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</si>
  <si>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</si>
  <si>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</si>
  <si>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</si>
  <si>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</si>
  <si>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</si>
  <si>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</si>
  <si>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</si>
  <si>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</si>
  <si>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</si>
  <si>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</si>
  <si>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</si>
  <si>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</si>
  <si>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</si>
  <si>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</si>
  <si>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</si>
  <si>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</si>
  <si>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</si>
  <si>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</si>
  <si>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</si>
  <si>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</si>
  <si>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</si>
  <si>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</si>
  <si>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</si>
  <si>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</si>
  <si>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</si>
  <si>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</si>
  <si>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</si>
  <si>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</si>
  <si>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</si>
  <si>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</si>
  <si>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</si>
  <si>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</si>
  <si>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</si>
  <si>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</si>
  <si>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</si>
  <si>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</si>
  <si>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</si>
  <si>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</si>
  <si>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</si>
  <si>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</si>
  <si>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</si>
  <si>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</si>
  <si>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Autofill Workbook Results</t>
  </si>
  <si>
    <t>Graph History</t>
  </si>
  <si>
    <t>Relationship</t>
  </si>
  <si>
    <t>Subscribed At</t>
  </si>
  <si>
    <t>Total Items Count</t>
  </si>
  <si>
    <t>New Items Count</t>
  </si>
  <si>
    <t>UCcii8ZN-2lH9Dy2yL9Q3E7A</t>
  </si>
  <si>
    <t>UCaFzKCEMfNME-a8l6V43ZAw</t>
  </si>
  <si>
    <t>UCbIz_66E4bWyNU_gnVI73bQ</t>
  </si>
  <si>
    <t>UCuYcqLjJi8thrUJCjzLBaow</t>
  </si>
  <si>
    <t>UCsMtgr38wPby5SAEw88ISMQ</t>
  </si>
  <si>
    <t>UCqqjiYoD0nP1fR6vf5AcSfQ</t>
  </si>
  <si>
    <t>UClQT6Vnsm6BUm0I5kR26EkQ</t>
  </si>
  <si>
    <t>UCiMPkzrVSCEDm3TatvdVylw</t>
  </si>
  <si>
    <t>UCZn9XBZ0ef1L6zwfA5oIpfw</t>
  </si>
  <si>
    <t>UCSOknnmnLqXZRQXM8uzh7Tw</t>
  </si>
  <si>
    <t>UCQ01UzLycVtk6LmvVZC1eMg</t>
  </si>
  <si>
    <t>UCIEim7TMQ9FRIykPWSYIwUg</t>
  </si>
  <si>
    <t>UCBc6O9ZkUZfBdYCmHLZVZsQ</t>
  </si>
  <si>
    <t>UC7FCUF2yedOT-Ot55kKZ1iw</t>
  </si>
  <si>
    <t>UC4gPNusMDwx2Xm-YI35AkCA</t>
  </si>
  <si>
    <t>UC5YPpUoIFAbQZVVHc38OAdQ</t>
  </si>
  <si>
    <t>UCnBk2Cx65aKmRScwbk1VMQA</t>
  </si>
  <si>
    <t>UCkoFVQzbQn3ds1I5XtgEmmw</t>
  </si>
  <si>
    <t>UCKhjYwhclvZ7yyhiAq1qpqw</t>
  </si>
  <si>
    <t>UCF619Hr920_s4YoDOLk1J3g</t>
  </si>
  <si>
    <t>UCxM4D7WRi5RDr9d0RB-EVkQ</t>
  </si>
  <si>
    <t>Subscribed To</t>
  </si>
  <si>
    <t>Custom Menu Item Text</t>
  </si>
  <si>
    <t>Custom Menu Item Action</t>
  </si>
  <si>
    <t>Title</t>
  </si>
  <si>
    <t>Description</t>
  </si>
  <si>
    <t>Open YouTube Page for This Channel</t>
  </si>
  <si>
    <t>Christopher Hoffmann</t>
  </si>
  <si>
    <t>IEA DHC</t>
  </si>
  <si>
    <t>Architect of the Capitol</t>
  </si>
  <si>
    <t>Amanpour and Company</t>
  </si>
  <si>
    <t>Pearl Jam</t>
  </si>
  <si>
    <t>International Energy Agency</t>
  </si>
  <si>
    <t>QuakeWrap, Inc.</t>
  </si>
  <si>
    <t>Plume Project</t>
  </si>
  <si>
    <t>Office of Sustainability at Princeton University</t>
  </si>
  <si>
    <t>District Energy St. Paul</t>
  </si>
  <si>
    <t>State of Green</t>
  </si>
  <si>
    <t>Veolia Group</t>
  </si>
  <si>
    <t>U2</t>
  </si>
  <si>
    <t>PTTEP Official</t>
  </si>
  <si>
    <t>PTTEP Robot Club</t>
  </si>
  <si>
    <t>ASEAN SUSTAINABLE ENERGY WEEK</t>
  </si>
  <si>
    <t>INTERMACH</t>
  </si>
  <si>
    <t>MiRA AND SUBCON EEC</t>
  </si>
  <si>
    <t>Best Free Audio</t>
  </si>
  <si>
    <t>Best Free Footage</t>
  </si>
  <si>
    <t>International District Energy Association</t>
  </si>
  <si>
    <t>Public Figure</t>
  </si>
  <si>
    <t>The Architect of the Capitol (AOC) is rooted in a tradition of unique craftsmanship and ingenuity. Tracing its beginnings to the laying of the #USCapitol cornerstone in 1793, the AOC is responsible for the operations and care of more than 18.4 million sq. ft. of facilities, 570 acres of grounds and thousands of works of art.
Today, there are more than 2,000 AOC employees serving around the clock in diverse roles to maintain and preserve the buildings and grounds. Iconic landmarks under our care include the U.S. Capitol, Capitol Grounds, Capitol Visitor Center, House office buildings, Library of Congress, Senate office buildings, Supreme Court buildings and U.S. Botanic Garden.
-----
NOTE
Our videos are made available for educational, scholarly, news or personal purposes (not advertising or any other commercial use). These videos may not be used in any way that would imply endorsement by the Architect of the Capitol or the United States Congress of a product, service or point of view.</t>
  </si>
  <si>
    <t>Amanpour and Company is a one-hour, late-night public affairs series featuring wide-ranging, in-depth conversations with global thought leaders and cultural influencers on the issues and trends impacting the world each day. Christiane Amanpour leads the conversation on global and domestic news with other interviews from prominent journalists Walter Isaacson, Michel Martin and Hari Sreenivasan.
Watch weekdays on PBS (check local listings), pbs.org/amanpour and on PBS Video Apps. Join the conversation using #AmanpourPBS.
Major support for Amanpour and Company is provided by The Anderson Family Endowment, Jim Attwood and Leslie Williams, Candace King Weir, the Leila and Mickey Straus Family Charitable Trust, Mark J. Blechner, Seton J. Melvin, Charles Rosenblum, Koo and Patricia Yuen, Barbara Hope Zuckerberg, Jeffrey Katz and Beth Rogers, Bernard and Denise Schwartz, the JPB Foundation, the Sylvia A. and Simon B. Poyta Programming Endowment to Fight Antisemitism and Josh Weston.</t>
  </si>
  <si>
    <t>Celebrate 30 years of Vs. by listening to the album. Exclusive merch is now available: https://pj.lnk.to/homeID</t>
  </si>
  <si>
    <t>Shaping a secure &amp; sustainable energy future. We provide data, analysis &amp; ambitious real-world solutions on all fuels &amp; technologies.</t>
  </si>
  <si>
    <t>Engineering/Construction company specializing in structural repair and strengthening of beams, columns, walls, slabs, piles, marine piles, pipes, tanks, bridges, seawalls, bulkheads and more using engineered and patent protected FRP products and systems.</t>
  </si>
  <si>
    <t>Princeton University's Office of Sustainability's mission is to cultivate an ethos of sustainability at Princeton that inspires action at all scales in service to humanity and the world.</t>
  </si>
  <si>
    <t>District Energy St. Paul currently utilizes flexible fuels (including solar, biomass &amp; waste heat) to heat and cool the majority of downtown Saint Paul. We're North America's largest hot water community energy system. 
districtenergy.com</t>
  </si>
  <si>
    <t>State of Green is your one-stop-shop to more than 600 Danish businesses, agencies, academic institutions, experts and researchers. State of Green connects you with leading Danish players working to drive the global transition to a sustainable, low-carbon, resource-efficient society.</t>
  </si>
  <si>
    <t>Le groupe Veolia, leader de la transformation écologique, agit face aux défis du dérèglement climatique et de la préservation des ressources sur les cinq continents, grâce à un collectif engagé de 213 000 collaborateurs. Fort de son expertise de 170 ans dans ses 3 métiers, l’eau, l’énergie et les déchets, Veolia conçoit et déploie chez ses clients municipaux et industriels des solutions de décarbonation, de dépollution et de régénération des ressources pour  les accompagner dans leur transformation écologique.
Veolia Group, the benchmark company for ecological transformation, takes action to meet the challenges of climate change and resource conservation on five continents, thanks to a committed collective of 213,000 employees. Drawing on 170 years of expertise in its 3 core businesses of water, energy and waste management, Veolia designs and deploys decarbonizing, saving and regenerating resources, and depolluting solutions for its municipal and industrial customers.</t>
  </si>
  <si>
    <t>U2:UV Achtung Baby, Live at Sphere. Atomic City. Out Now.</t>
  </si>
  <si>
    <t>ASEAN's Largest International Exhibition and Conference on Renewable Energy, Energy Efficiency and Environmental Technology
[Energy Transition for Sustainable ASEAN Development]</t>
  </si>
  <si>
    <t>ASEAN's Largest Industrial Machinery and Subcontracting Exhibition
"INTERMACH" is the most comprehensive event displaying the latest industrial technology and supports the manufacturing process that is aligned with Industrial Revolution 4.0. The first international industrial machinery event of the year, it is conveniently held at the start of the industrial purchasing period. INTERMACH has proven success in attracting serious decision-makers and buyers from across ASEAN. It's designed to deliver serious business success.</t>
  </si>
  <si>
    <t>Thailand’s Leading Industrial Solution Event in Eastern Economic Corridor on Maintenance, Industrial Robotics, Automation and Subcontracting
24-26 AUGUST 2022
International Convention and Exhibition (NICE)
Pattaya, Chonburi, Thailand</t>
  </si>
  <si>
    <t>Explore in Best Free Audio the best Creative Commons Music and Sound Sound Effects for your Videos.</t>
  </si>
  <si>
    <t>Explore in Best Free Footage the better No Copyright Videos, Creative Commons and Royalty Free Footage. Videos of all genres for content creators.</t>
  </si>
  <si>
    <t>This channel is published by the International District Energy Association, a nonprofit trade association founded in 1909 to facilitate the exchange of information among district energy professionals. Today, IDEA has over 2500 members and is governed by a 20-member, all-volunteer Board of Directors.</t>
  </si>
  <si>
    <t xml:space="preserve">&lt;?xml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name="Footer" serializeAs="String"&gt;
        &lt;value&gt;Created with NodeXL  from the Social Media Research Foundation (https://smrfoundation.org)&lt;/value&gt;
      &lt;/setting&gt;
      &lt;setting name="SaveAsVideo" serializeAs="String"&gt;
        &lt;value&gt;False&lt;/value&gt;
      &lt;/setting&gt;
      &lt;setting name="FolderPath" serializeAs="String"&gt;
        &lt;value&gt;D:\NodeXL\_youtube&lt;/value&gt;
      &lt;/setting&gt;
    &lt;/ExportToPowerPointUserSettings&gt;
    &lt;ExportDataUserSettings&gt;
      &lt;setting name="BrandURL" serializeAs="String"&gt;
        &lt;value /&gt;
      &lt;/setting&gt;
      &lt;setting name="URL" serializeAs="String"&gt;
        &lt;value /&gt;
      &lt;/setting&gt;
      &lt;setting name="ActionLabel" serializeAs="String"&gt;
        &lt;value /&gt;
      &lt;/setting&gt;
      &lt;setting name="ActionURL" serializeAs="String"&gt;
        &lt;value /&gt;
 </t>
  </si>
  <si>
    <t xml:space="preserve">     &lt;/setting&gt;
      &lt;setting name="BrandLogo" serializeAs="String"&gt;
        &lt;value /&gt;
      &lt;/setting&gt;
      &lt;setting name="Hashtag" serializeAs="String"&gt;
        &lt;value /&gt;
      &lt;/setting&gt;
    &lt;/ExportDataUserSettings&gt;
    &lt;AutoScaleUserSettings&gt;
      &lt;setting name="AutoScale" serializeAs="String"&gt;
        &lt;value&gt;False&lt;/value&gt;
      &lt;/setting&gt;
    &lt;/AutoScaleUserSettings&gt;
    &lt;PlugInUserSettings&gt;
      &lt;setting name="PlugInFolderPath" serializeAs="String"&gt;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 #nxlyoutube&lt;/value&gt;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</si>
  <si>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</si>
  <si>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</si>
  <si>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</si>
  <si>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</si>
  <si>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</si>
  <si>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</si>
  <si>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</si>
  <si>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</si>
  <si>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</si>
  <si>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</si>
  <si>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</si>
  <si>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</si>
  <si>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</si>
  <si>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</si>
  <si>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</si>
  <si>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</si>
  <si>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</si>
  <si>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</si>
  <si>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Key</t>
  </si>
  <si>
    <t>Action Label</t>
  </si>
  <si>
    <t>Action URL</t>
  </si>
  <si>
    <t>Brand Logo</t>
  </si>
  <si>
    <t>Brand URL</t>
  </si>
  <si>
    <t>Hashtag</t>
  </si>
  <si>
    <t>URL</t>
  </si>
  <si>
    <t>Top 10 Vertices, Ranked by Betweenness Centrality</t>
  </si>
  <si>
    <t>G1</t>
  </si>
  <si>
    <t>G2</t>
  </si>
  <si>
    <t>0, 12, 96</t>
  </si>
  <si>
    <t>0, 136, 227</t>
  </si>
  <si>
    <t>Vertex Group</t>
  </si>
  <si>
    <t>Vertex 1 Group</t>
  </si>
  <si>
    <t>Vertex 2 Group</t>
  </si>
  <si>
    <t>▓0▓0▓0▓True▓Black▓Black▓▓▓0▓0▓0▓0▓0▓False▓▓0▓0▓0▓0▓0▓False▓▓0▓0▓0▓True▓Black▓Black▓▓Betweenness Centrality▓0▓38▓3▓20▓1000▓False▓▓0▓0▓0▓0▓0▓False▓▓0▓0▓0▓0▓0▓False▓▓0▓0▓0▓0▓0▓False</t>
  </si>
  <si>
    <t xml:space="preserve">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touve.com
extendedresults.com
instagram.com
siliconangle.com
vmware.com
notonlydev.com
gigaom.com
forbes.com
mit.edu
Top Domains in Tweet in G1:
strataconf.com
instagram.com
touve.com
notonlydev.com
gigaom.com
mit.edu
discovertext.com
oreilly.com
wikipedia.org
slideshare.net
Top Domains in Tweet in G2:
extendedresults.com
strataconf.com
siliconangle.com
vmware.com
pushbi.com
touve.com
datanami.com
forbes.com
instagram.com
ow.ly
Top Domains in Tweet in G3:
strataconf.com
touve.com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t>
  </si>
  <si>
    <t>&lt;/setting&gt;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&lt;value&gt;11&lt;/value&gt;
      &lt;/setting&gt;
      &lt;setting name="FromAddress" serializeAs="String"&gt;
        &lt;value&gt;email@domain.abc&lt;/value&gt;
      &lt;/setting&gt;
      &lt;setting name="ExportGraphML" serializeAs="String"&gt;
        &lt;value&gt;False&lt;/value&gt;
      &lt;/setting&gt;
      &lt;setting name="SmtpHost" serializeAs="String"&gt;
        &lt;value&gt;mail.domain.abc&lt;/value&gt;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&lt;value&gt;email@domain.abc&lt;/value&gt;
      &lt;/setting&gt;
      &lt;setting name="SpaceDelimitedToAddresses" serializeAs="String"&gt;
        &lt;value&gt;email@domain.abc&lt;/value&gt;
      &lt;/setting&gt;
      &lt;setting name="MessageBody" serializeAs="String"&gt;
        &lt;value /&gt;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recommended Youtube videos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ReciprocatedVertexPairRatio&lt;/value&gt;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t>
  </si>
  <si>
    <t>icUserSettings" serializeAs="String"&gt;
        &lt;value&gt;CalculateSentiment░True▓TextColumnIsOnEdgeWorksheet░True▓TextColumnName░Comment▓CountByGroup░True▓SkipSingleTerms░True▓WordsToSkip░0 1 2 3 4 5 6 7 8 9 39 #39 a á à â å ä ã ab aber able about above abroad abst accordance according accordingly across actually added after afterwards again against ago ah ahead ahora ain't aint al all allow allows almost alone along alongside already als also also although always am amid amidst among amongst amoungst amp an and años another any anybody anyhow anymore anyone anything anyway anyways anywhere apart apparently aqui aquí are area areas aren aren't arent arise around arpa as así aside aspx aspx at au auch auf aunque aus avec aw away b back backs backward backwards be became because become becomes becoming been before beforehand began begin beginning beginnings begins behind bei beim below beside besides between beyond bin bis both bottom br br briefly but by c c'mon c's cada came can can't cannot cant cause causes cc ce certain certainly channel che clear clearly cmon com come comes como con consequently contain containing contains could could've couldn couldn't couldnt cry cuando currently d ð da damit dann dans dare daren't darent das dass date day days de dear definitely dein deine deinem deinen deiner deines del della dem den denen denn der deren des desde despite después dessen di dich did didn didn't didnt diese diesem diesen dieses different differently dijo dir directly dm do doch does doesn doesn't doesnt doing don don't donde done dont dort dos du due durante durch during ðÿ ðÿš e é è each early edu een eg eh eight eighty ein eine einem einen einer eines either el él eleven ella elle else else elsewhere en enough entirely entre er era es ès esa ese eso especially essai est esta está este esto estos et étaient étais était etant étant état été étée étées étés êtes étiez étions etre être etwa etwas euch euer euren eures even evenly ever evermore every everybody everyone everything everywhere exactly example except f face faces fais fait faites felt few fewer ff fifteen fifth fifty fify fill find finds first five fois follow for för forever former formerly forth forty forward found four fr free from front fue full fully für further furthered furthering furthermore furthers g gave general generally get get gets getting give given gives giving gleich go goes going gone got gotten h ha haben había hace had hadn't hadnt half han happens hardly has hasn hasn't hasnt hasta hat hatte hätte hatten hätten hättest have haven haven't havent having hay he he'd he'll he's hello hence her here here's hereafter hereby herein heres hereupon hers herself het hi hier him himself his hour hours how how'd how'll how's howbeit however href href html http https hundred i ï i.e. i'd i'll i'm i've ich ici ie if ihm ihn ihnen ihr ihre ihrem ihren il im im immediate immediately in in inasmuch indeed inner ins inside insofar instead int into inward is isn isn't isn't isnt ist it it'd it'll it's itd itll its itself ive j je jetzt just k kann knew know known knows können konnte könnte konnten könnten konntest könntest konntet l la las last lately later latest latter latterly le least les less lest let let's lets likely likewise little lo look looking looks los low m made mainly make makes making many más may maybe mayn't maynt me me mean means meantime meanwhile mein meine meinem meines menos merely mi mich might might might've might've mightn't mightnt mine mir mismo mit moi more moreover most most mostly move mr mrs ms much mucho muchos muss musste müsste mussten müssten müsstest must must've mustn't mustnt muy my myself n ñ  na na nach name namely nay ne near nearly necessarily necessary need needed needing needn't neednt needs neither neither net never neverless nevertheless new newer newest next ni nicht nine ninety no no no-one nobody noch non none nonetheless noone nor nor normally nos nos nosotras nosotros nosotros not noted nothing notwithstanding nous now nowhere nu nuestra nuestras nuestro nuestros number numbers nun nur o ó ò ö ob obtain obtained obviously och oder of off official often oh ohne ok okay old older oldest om om on once one one's ones only onto op or or ord os other others otherwise otra otras otro otros ou ought oughtn't oughtnt our ours ourselves out outside over overall owing own own p país para parte parted particular particularly parting pas per per perhaps pero please plus pm poca pocas poco pocos point pointed pointing points por porque possible possibly potentially pouquoi pour predominantly presumably previously primarily probably promptly provided provides puede put puts pw q que que qué qui quickly quien quién quienes quiénes quite quoi quot r ran rather re readily really recent recently regarding regardless regards relatively respectively ro round rt run s said same sans saw say saying says schon se second secondly seconds see seeing seem seemed seeming seems seen sees según sehr sein self selves sent ser serious seriously seven seventy several shall shan't shant she she'd she'll she's shed shell shes should should've shouldn shouldn't shouldnt showed showing shown showns si sí sich side sides sido sie siempre similar similarly since sincere sind six sixty slightly small smaller smallest so so sobre sogar soll sollst sollte sollten solltest solo sólo som some somebody someday somehow someone somethan something sometime sometimes somewhat somewhere somos son soon sorry sous soy ß still su sub subscribe such suggest sup sur sure sus t take taken taking también tan tanto te tell ten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third thirty this those thou though thoughh thought thoughts thousand thr</t>
  </si>
  <si>
    <t>ee throug through throughout thru thus ti tiempo tiene tiene tiene tienen tienes til till tis tja to to toda todas today todo todos together toi too took top toward towards tres tried tries trillion truly tu tú tun turn turned turning turns twas twas twelve twenty twice two u ú ù ü über um um un una und under underneath undoing une unless unlike unlikely uno unos uns unser unsere unserem unseren unseres unter until unto up upon ups upwards url us use used uses using usually v va van very vez vi via video videos viel vom von voor vor vos vosotras vosotros vous w want wanted wanting wants wäre wären wärest was was wasn wasn't wasnt watch way ways we we'd we'll we're we've web wenn went wer werden were weren weren't werent weve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wie will wir wird wirst with within without wo won't wonder wont would would've wouldn wouldn't wouldnt wurde wurden würden wurdest würdest www x y ya ye year years yes yet yo you you'd you'll you're you've youd youll your youre yours yourself yourselves youtu youtube youve yu z zu zum zur▓SentimentList1Name░List1▓SentimentList2Name░List2▓SentimentList3Name░List3▓SentimentList1FriendlyName░Positive▓SentimentList2FriendlyName░Negative▓SentimentList3FriendlyName░(Add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t>
  </si>
  <si>
    <t>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t>
  </si>
  <si>
    <t>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t>
  </si>
  <si>
    <t>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t>
  </si>
  <si>
    <t>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t>
  </si>
  <si>
    <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t>
  </si>
  <si>
    <t xml:space="preserve">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t>
  </si>
  <si>
    <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t>
  </si>
  <si>
    <t xml:space="preserve">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t>
  </si>
  <si>
    <t>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t>
  </si>
  <si>
    <t>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name="NetworkTopItemsListUserSettings" serializeAs="Xml"&gt;
        &lt;value&gt;
          &lt;NetworkTopItemsListUserSettings xmlns:xsd="http://www.w3.org/2001/XMLSchema"
            xmlns:xsi="http://www.w3.org/2001/XMLSchema-instance"&gt;
            &lt;IsEdgeColumn&gt;true&lt;/IsEdgeColumn&gt;
            &lt;StatusColumnName&gt;Comment&lt;/StatusColumnName&gt;
            &lt;TopTweetersMentionedRepliedTo&gt;false&lt;/TopTweetersMentionedRepliedTo&gt;
            &lt;NetworkTopItemsUserSettin</t>
  </si>
  <si>
    <t>gsToCalculate&gt;
              &lt;NetworkTopItemsUserSettings&gt;
                &lt;NumberOfItemsToGet&gt;10&lt;/NumberOfItemsToGet&gt;
                &lt;WorksheetName&gt;Edges&lt;/WorksheetName&gt;
                &lt;TableName&gt;Edges&lt;/TableName&gt;
                &lt;ColumnName&gt;URLs In Comment&lt;/ColumnName&gt;
                &lt;Delimiter&gt;Space&lt;/Delimiter&gt;
              &lt;/NetworkTopItemsUserSettings&gt;
              &lt;NetworkTopItemsUserSettings&gt;
                &lt;NumberOfItemsToGet&gt;10&lt;/NumberOfItemsToGet&gt;
                &lt;WorksheetName&gt;Edges&lt;/WorksheetName&gt;
                &lt;TableName&gt;Edges&lt;/TableName&gt;
                &lt;ColumnName&gt;Domains In Comment&lt;/ColumnName&gt;
                &lt;Delimiter&gt;Space&lt;/Delimiter&gt;
              &lt;/NetworkTopItemsUserSettings&gt;
              &lt;NetworkTopItemsUserSettings&gt;
                &lt;NumberOfItemsToGet&gt;10&lt;/NumberOfItemsToGet&gt;
                &lt;WorksheetName&gt;Edges&lt;/WorksheetName&gt;
                &lt;TableName&gt;Edges&lt;/TableName&gt;
                &lt;ColumnName&gt;Hashtags In Comment&lt;/ColumnName&gt;
                &lt;Delimiter&gt;Space&lt;/Delimiter&gt;
              &lt;/NetworkTopItemsUserSettings&gt;
            &lt;/NetworkTopItemsUserSettingsToCalculate&gt;
          &lt;/NetworkTopItemsListUserSettings&gt;
        &lt;/value&gt;
      &lt;/setting&gt;
      &lt;setting name="TimeSeriesUserSettings" serializeAs="String"&gt;
        &lt;value&gt;TimeColumnName░Published At▓TimeSlice░Days▓UniqueEdges░False▓SlicerColumns░Comment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 /&gt;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 /&gt;
      &lt;/setting&gt;
      &lt;setting name="VertexShapeSourceColumnName" serializeAs="String"&gt;
        &lt;value /&gt;
      &lt;/setting&gt;
      &lt;setting name="EdgeStyleSourceColumnName" serializeAs="String"&gt;
        &lt;value /&gt;
      &lt;/setting&gt;
      &lt;setting name="EdgeColorSourceColumnName" serializeAs="String"&gt;
        &lt;value /&gt;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Disk&lt;/value&gt;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40 15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t>
  </si>
  <si>
    <t xml:space="preserve">lizeAs="String"&gt;
        &lt;value&gt;False False 0 0 3 10 True False&lt;/value&gt;
      &lt;/setting&gt;
      &lt;setting name="GroupCollapsedDetails" serializeAs="String"&gt;
        &lt;value&gt;GreaterThan 0 Yes No&lt;/value&gt;
      &lt;/setting&gt;
      &lt;setting name="VertexRadiusDetails" serializeAs="String"&gt;
        &lt;value&gt;False False 0 0 20 1000 True False&lt;/value&gt;
      &lt;/setting&gt;
      &lt;setting name="VertexXDetails" serializeAs="String"&gt;
        &lt;value&gt;False False 0 0 0 9999 False False&lt;/value&gt;
      &lt;/setting&gt;
      &lt;setting name="EdgeColorDetails" serializeAs="String"&gt;
        &lt;value&gt;False False 0 0 Silver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 /&gt;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&lt;value&gt;ForceDirected&lt;/value&gt;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&lt;value&gt;4&lt;/value&gt;
      &lt;/setting&gt;
      &lt;setting name="AutoSelect" serializeAs="String"&gt;
        &lt;value&gt;True&lt;/value&gt;
      &lt;/setting&gt;
      &lt;setting name="LabelUserSettings" serializeAs="String"&gt;
        &lt;value&gt;Microsoft Sans Serif, 27.75pt White BottomCenter 25 2147483647 Black True 314 Black 80 TopLeft Microsoft Sans Serif, 48pt Microsoft Sans Serif, 6pt&lt;/value&gt;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&lt;value&gt;4&lt;/value&gt;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t>
  </si>
  <si>
    <t>Edge Weight</t>
  </si>
  <si>
    <t>GraphSource░touveChannel▓GraphTerm░UC-htisi9TeqdRkTTpNtznrg▓ImportDescription░The graph represents the 2-level touve network for the channel that corresponds to the channel with ID "UC-htisi9TeqdRkTTpNtznrg".  The network was obtained from touve on Thursday, 18 January 2024 at 10:07 UTC.
There is a vertex for each person or channel subscribed to by the user.▓ImportSuggestedTitle░touve Channel UC-htisi9TeqdRkTTpNtznrg▓ImportSuggestedFileNameNoExtension░2024-01-18 10-07-37 NodeXL touve Channel UC-htisi9TeqdRkTTpNtznrg▓GroupingDescription░The graph's vertices were grouped by cluster using the Clauset-Newman-Moore cluster algorithm.▓LayoutAlgorithm░The graph was laid out using the Harel-Koren Fast Multiscale layout algorithm.▓GraphDirectedness░The graph is directed.</t>
  </si>
  <si>
    <t>Group 1</t>
  </si>
  <si>
    <t>Group 2</t>
  </si>
  <si>
    <t>Edges</t>
  </si>
  <si>
    <t>touveChannel</t>
  </si>
  <si>
    <t>UC-htisi9TeqdRkTTpNtznrg</t>
  </si>
  <si>
    <t>The graph represents the 2-level touve network for the channel that corresponds to the channel with ID "UC-htisi9TeqdRkTTpNtznrg".  The network was obtained from touve on Thursday, 18 January 2024 at 10:07 UTC.
There is a vertex for each person or channel subscribed to by the user.</t>
  </si>
  <si>
    <t>The graph was laid out using the Harel-Koren Fast Multiscale layout algorithm.</t>
  </si>
  <si>
    <t>The graph's vertices were grouped by cluster using the Clauset-Newman-Moore cluster algorithm.</t>
  </si>
  <si>
    <t>https://nodexlgraphgallery.org/Pages/Graph.aspx?graphID=294359</t>
  </si>
  <si>
    <t>https://nodexlgraphgallery.org/Images/Image.ashx?graphID=294359&amp;type=f</t>
  </si>
  <si>
    <t>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</si>
</sst>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0" borderId="0" xfId="28"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 xfId="27" applyNumberFormat="1" applyAlignment="1">
      <alignment/>
    </xf>
    <xf numFmtId="49" fontId="0" fillId="0" borderId="0" xfId="0" applyNumberFormat="1" applyAlignment="1">
      <alignment/>
    </xf>
    <xf numFmtId="49" fontId="0" fillId="0" borderId="0" xfId="0" applyNumberFormat="1" applyFill="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Alignment="1" quotePrefix="1">
      <alignment/>
    </xf>
    <xf numFmtId="49" fontId="0" fillId="0" borderId="7" xfId="22" applyNumberFormat="1" applyFont="1" applyBorder="1" applyAlignment="1">
      <alignment/>
    </xf>
    <xf numFmtId="0" fontId="0" fillId="3" borderId="11" xfId="23"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1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8" formatCode="0"/>
      <border>
        <right style="thin">
          <color theme="0"/>
        </right>
      </border>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7" formatCode="@"/>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123"/>
      <tableStyleElement type="headerRow" dxfId="122"/>
    </tableStyle>
    <tableStyle name="NodeXL Table" pivot="0" count="1">
      <tableStyleElement type="headerRow" dxfId="1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2262388"/>
        <c:axId val="21926037"/>
      </c:barChart>
      <c:catAx>
        <c:axId val="322623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1926037"/>
        <c:crosses val="autoZero"/>
        <c:auto val="1"/>
        <c:lblOffset val="100"/>
        <c:noMultiLvlLbl val="0"/>
      </c:catAx>
      <c:valAx>
        <c:axId val="2192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23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116606"/>
        <c:axId val="31178543"/>
      </c:barChart>
      <c:catAx>
        <c:axId val="631166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1178543"/>
        <c:crosses val="autoZero"/>
        <c:auto val="1"/>
        <c:lblOffset val="100"/>
        <c:noMultiLvlLbl val="0"/>
      </c:catAx>
      <c:valAx>
        <c:axId val="3117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66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171432"/>
        <c:axId val="42434025"/>
      </c:barChart>
      <c:catAx>
        <c:axId val="121714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34025"/>
        <c:crosses val="autoZero"/>
        <c:auto val="1"/>
        <c:lblOffset val="100"/>
        <c:noMultiLvlLbl val="0"/>
      </c:catAx>
      <c:valAx>
        <c:axId val="4243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14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361906"/>
        <c:axId val="14603971"/>
      </c:barChart>
      <c:catAx>
        <c:axId val="463619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4603971"/>
        <c:crosses val="autoZero"/>
        <c:auto val="1"/>
        <c:lblOffset val="100"/>
        <c:noMultiLvlLbl val="0"/>
      </c:catAx>
      <c:valAx>
        <c:axId val="1460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1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326876"/>
        <c:axId val="42070973"/>
      </c:barChart>
      <c:catAx>
        <c:axId val="643268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68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88560"/>
        <c:axId val="8897041"/>
      </c:barChart>
      <c:catAx>
        <c:axId val="98856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97041"/>
        <c:crosses val="autoZero"/>
        <c:auto val="1"/>
        <c:lblOffset val="100"/>
        <c:noMultiLvlLbl val="0"/>
      </c:catAx>
      <c:valAx>
        <c:axId val="8897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8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964506"/>
        <c:axId val="49571691"/>
      </c:barChart>
      <c:catAx>
        <c:axId val="129645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9571691"/>
        <c:crosses val="autoZero"/>
        <c:auto val="1"/>
        <c:lblOffset val="100"/>
        <c:noMultiLvlLbl val="0"/>
      </c:catAx>
      <c:valAx>
        <c:axId val="49571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64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492036"/>
        <c:axId val="55884005"/>
      </c:barChart>
      <c:catAx>
        <c:axId val="43492036"/>
        <c:scaling>
          <c:orientation val="minMax"/>
        </c:scaling>
        <c:axPos val="b"/>
        <c:delete val="1"/>
        <c:majorTickMark val="out"/>
        <c:minorTickMark val="none"/>
        <c:tickLblPos val="none"/>
        <c:crossAx val="55884005"/>
        <c:crosses val="autoZero"/>
        <c:auto val="1"/>
        <c:lblOffset val="100"/>
        <c:noMultiLvlLbl val="0"/>
      </c:catAx>
      <c:valAx>
        <c:axId val="55884005"/>
        <c:scaling>
          <c:orientation val="minMax"/>
        </c:scaling>
        <c:axPos val="l"/>
        <c:delete val="1"/>
        <c:majorTickMark val="out"/>
        <c:minorTickMark val="none"/>
        <c:tickLblPos val="none"/>
        <c:crossAx val="434920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395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662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927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192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4603075"/>
        <a:ext cx="6457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727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259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991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U22" totalsRowShown="0" headerRowDxfId="120" dataDxfId="119">
  <autoFilter ref="A2:U22"/>
  <tableColumns count="21">
    <tableColumn id="1" name="Vertex 1" dataDxfId="69"/>
    <tableColumn id="2" name="Vertex 2" dataDxfId="67"/>
    <tableColumn id="3" name="Color" dataDxfId="68"/>
    <tableColumn id="4" name="Width" dataDxfId="118"/>
    <tableColumn id="11" name="Style" dataDxfId="117"/>
    <tableColumn id="5" name="Opacity" dataDxfId="116"/>
    <tableColumn id="6" name="Visibility" dataDxfId="115"/>
    <tableColumn id="10" name="Label" dataDxfId="114"/>
    <tableColumn id="12" name="Label Text Color" dataDxfId="113"/>
    <tableColumn id="13" name="Label Font Size" dataDxfId="112"/>
    <tableColumn id="14" name="Reciprocated?" dataDxfId="23"/>
    <tableColumn id="7" name="ID" dataDxfId="111"/>
    <tableColumn id="9" name="Dynamic Filter" dataDxfId="110"/>
    <tableColumn id="8" name="Add Your Own Columns Here" dataDxfId="66"/>
    <tableColumn id="15" name="Relationship" dataDxfId="65"/>
    <tableColumn id="16" name="Subscribed At" dataDxfId="64"/>
    <tableColumn id="17" name="Total Items Count" dataDxfId="63"/>
    <tableColumn id="18" name="New Items Count" dataDxfId="41"/>
    <tableColumn id="19" name="Vertex 1 Group" dataDxfId="40">
      <calculatedColumnFormula>REPLACE(INDEX(GroupVertices[Group], MATCH("~"&amp;Edges[[#This Row],[Vertex 1]],GroupVertices[Vertex],0)),1,1,"")</calculatedColumnFormula>
    </tableColumn>
    <tableColumn id="20" name="Vertex 2 Group" dataDxfId="39">
      <calculatedColumnFormula>REPLACE(INDEX(GroupVertices[Group], MATCH("~"&amp;Edges[[#This Row],[Vertex 2]],GroupVertices[Vertex],0)),1,1,"")</calculatedColumnFormula>
    </tableColumn>
    <tableColumn id="21" name="Edge Weight"/>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7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ExportOptions" displayName="ExportOptions" ref="A1:B7" totalsRowShown="0" headerRowDxfId="52" dataDxfId="51">
  <autoFilter ref="A1:B7"/>
  <tableColumns count="2">
    <tableColumn id="1" name="Key" dataDxfId="3"/>
    <tableColumn id="2" name="Value" dataDxfId="2"/>
  </tableColumns>
  <tableStyleInfo name="NodeXL Table" showFirstColumn="0" showLastColumn="0" showRowStripes="1" showColumnStripes="0"/>
</table>
</file>

<file path=xl/tables/table12.xml><?xml version="1.0" encoding="utf-8"?>
<table xmlns="http://schemas.openxmlformats.org/spreadsheetml/2006/main" id="13" name="TopItems_1" displayName="TopItems_1" ref="A1:B11" totalsRowShown="0" headerRowDxfId="7" dataDxfId="6">
  <autoFilter ref="A1:B11"/>
  <tableColumns count="2">
    <tableColumn id="1" name="Top 10 Vertices, Ranked by Betweenness Centrality" dataDxfId="5"/>
    <tableColumn id="2" name="Betweenness Centrality" dataDxfId="4"/>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22" dataDxfId="21">
  <autoFilter ref="A2:C5"/>
  <tableColumns count="3">
    <tableColumn id="1" name="Group 1" dataDxfId="20"/>
    <tableColumn id="2" name="Group 2" dataDxfId="19"/>
    <tableColumn id="3" name="Edges" dataDxfId="1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AH23" totalsRowShown="0" headerRowDxfId="109" dataDxfId="108">
  <autoFilter ref="A2:AH23"/>
  <sortState ref="A3:AH23">
    <sortCondition descending="1" sortBy="value" ref="U3:U23"/>
  </sortState>
  <tableColumns count="34">
    <tableColumn id="1" name="Vertex" dataDxfId="107"/>
    <tableColumn id="2" name="Color" dataDxfId="106"/>
    <tableColumn id="5" name="Shape" dataDxfId="105"/>
    <tableColumn id="6" name="Size" dataDxfId="104"/>
    <tableColumn id="4" name="Opacity" dataDxfId="60"/>
    <tableColumn id="7" name="Image File" dataDxfId="58"/>
    <tableColumn id="3" name="Visibility" dataDxfId="59"/>
    <tableColumn id="10" name="Label" dataDxfId="103"/>
    <tableColumn id="16" name="Label Fill Color" dataDxfId="102"/>
    <tableColumn id="9" name="Label Position" dataDxfId="55"/>
    <tableColumn id="8" name="Tooltip" dataDxfId="53"/>
    <tableColumn id="18" name="Layout Order" dataDxfId="54"/>
    <tableColumn id="13" name="X" dataDxfId="101"/>
    <tableColumn id="14" name="Y" dataDxfId="100"/>
    <tableColumn id="12" name="Locked?" dataDxfId="99"/>
    <tableColumn id="19" name="Polar R" dataDxfId="98"/>
    <tableColumn id="20" name="Polar Angle" dataDxfId="97"/>
    <tableColumn id="21" name="Degree" dataDxfId="14"/>
    <tableColumn id="22" name="In-Degree" dataDxfId="13"/>
    <tableColumn id="23" name="Out-Degree" dataDxfId="11"/>
    <tableColumn id="24" name="Betweenness Centrality" dataDxfId="12"/>
    <tableColumn id="25" name="Closeness Centrality" dataDxfId="16"/>
    <tableColumn id="26" name="Eigenvector Centrality" dataDxfId="15"/>
    <tableColumn id="15" name="PageRank" dataDxfId="10"/>
    <tableColumn id="27" name="Clustering Coefficient" dataDxfId="8"/>
    <tableColumn id="29" name="Reciprocated Vertex Pair Ratio" dataDxfId="9"/>
    <tableColumn id="11" name="ID" dataDxfId="96"/>
    <tableColumn id="28" name="Dynamic Filter" dataDxfId="95"/>
    <tableColumn id="17" name="Add Your Own Columns Here" dataDxfId="62"/>
    <tableColumn id="30" name="Custom Menu Item Text" dataDxfId="61"/>
    <tableColumn id="31" name="Custom Menu Item Action" dataDxfId="57"/>
    <tableColumn id="32" name="Title" dataDxfId="56"/>
    <tableColumn id="33" name="Description" dataDxfId="43"/>
    <tableColumn id="34" name="Vertex Group" dataDxfId="42">
      <calculatedColumnFormula>REPLACE(INDEX(GroupVertices[Group], MATCH("~"&amp;Vertices[[#This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X4" totalsRowShown="0" headerRowDxfId="94">
  <autoFilter ref="A2:X4"/>
  <tableColumns count="24">
    <tableColumn id="1" name="Group" dataDxfId="50"/>
    <tableColumn id="2" name="Vertex Color" dataDxfId="49"/>
    <tableColumn id="3" name="Vertex Shape" dataDxfId="47"/>
    <tableColumn id="22" name="Visibility" dataDxfId="48"/>
    <tableColumn id="4" name="Collapsed?"/>
    <tableColumn id="18" name="Label" dataDxfId="93"/>
    <tableColumn id="20" name="Collapsed X"/>
    <tableColumn id="21" name="Collapsed Y"/>
    <tableColumn id="6" name="ID" dataDxfId="92"/>
    <tableColumn id="19" name="Collapsed Properties" dataDxfId="38"/>
    <tableColumn id="5" name="Vertices" dataDxfId="37"/>
    <tableColumn id="7" name="Unique Edges" dataDxfId="36"/>
    <tableColumn id="8" name="Edges With Duplicates" dataDxfId="35"/>
    <tableColumn id="9" name="Total Edges" dataDxfId="34"/>
    <tableColumn id="10" name="Self-Loops" dataDxfId="33"/>
    <tableColumn id="24" name="Reciprocated Vertex Pair Ratio" dataDxfId="32"/>
    <tableColumn id="25" name="Reciprocated Edge Ratio" dataDxfId="31"/>
    <tableColumn id="11" name="Connected Components" dataDxfId="30"/>
    <tableColumn id="12" name="Single-Vertex Connected Components" dataDxfId="29"/>
    <tableColumn id="13" name="Maximum Vertices in a Connected Component" dataDxfId="28"/>
    <tableColumn id="14" name="Maximum Edges in a Connected Component" dataDxfId="27"/>
    <tableColumn id="15" name="Maximum Geodesic Distance (Diameter)" dataDxfId="26"/>
    <tableColumn id="16" name="Average Geodesic Distance" dataDxfId="25"/>
    <tableColumn id="17" name="Graph Density"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2" totalsRowShown="0" headerRowDxfId="91" dataDxfId="90">
  <autoFilter ref="A1:C22"/>
  <tableColumns count="3">
    <tableColumn id="1" name="Group" dataDxfId="46"/>
    <tableColumn id="2" name="Vertex" dataDxfId="45"/>
    <tableColumn id="3" name="Vertex ID" dataDxfId="44">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7"/>
    <tableColumn id="2" name="Value" dataDxfId="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89"/>
    <tableColumn id="2" name="Degree Frequency" dataDxfId="88">
      <calculatedColumnFormula>COUNTIF(Vertices[Degree], "&gt;= " &amp; D2) - COUNTIF(Vertices[Degree], "&gt;=" &amp; D3)</calculatedColumnFormula>
    </tableColumn>
    <tableColumn id="3" name="In-Degree Bin" dataDxfId="87"/>
    <tableColumn id="4" name="In-Degree Frequency" dataDxfId="86">
      <calculatedColumnFormula>COUNTIF(Vertices[In-Degree], "&gt;= " &amp; F2) - COUNTIF(Vertices[In-Degree], "&gt;=" &amp; F3)</calculatedColumnFormula>
    </tableColumn>
    <tableColumn id="5" name="Out-Degree Bin" dataDxfId="85"/>
    <tableColumn id="6" name="Out-Degree Frequency" dataDxfId="84">
      <calculatedColumnFormula>COUNTIF(Vertices[Out-Degree], "&gt;= " &amp; H2) - COUNTIF(Vertices[Out-Degree], "&gt;=" &amp; H3)</calculatedColumnFormula>
    </tableColumn>
    <tableColumn id="7" name="Betweenness Centrality Bin" dataDxfId="83"/>
    <tableColumn id="8" name="Betweenness Centrality Frequency" dataDxfId="82">
      <calculatedColumnFormula>COUNTIF(Vertices[Betweenness Centrality], "&gt;= " &amp; J2) - COUNTIF(Vertices[Betweenness Centrality], "&gt;=" &amp; J3)</calculatedColumnFormula>
    </tableColumn>
    <tableColumn id="9" name="Closeness Centrality Bin" dataDxfId="81"/>
    <tableColumn id="10" name="Closeness Centrality Frequency" dataDxfId="80">
      <calculatedColumnFormula>COUNTIF(Vertices[Closeness Centrality], "&gt;= " &amp; L2) - COUNTIF(Vertices[Closeness Centrality], "&gt;=" &amp; L3)</calculatedColumnFormula>
    </tableColumn>
    <tableColumn id="11" name="Eigenvector Centrality Bin" dataDxfId="79"/>
    <tableColumn id="12" name="Eigenvector Centrality Frequency" dataDxfId="78">
      <calculatedColumnFormula>COUNTIF(Vertices[Eigenvector Centrality], "&gt;= " &amp; N2) - COUNTIF(Vertices[Eigenvector Centrality], "&gt;=" &amp; N3)</calculatedColumnFormula>
    </tableColumn>
    <tableColumn id="18" name="PageRank Bin" dataDxfId="77"/>
    <tableColumn id="17" name="PageRank Frequency" dataDxfId="76">
      <calculatedColumnFormula>COUNTIF(Vertices[Eigenvector Centrality], "&gt;= " &amp; P2) - COUNTIF(Vertices[Eigenvector Centrality], "&gt;=" &amp; P3)</calculatedColumnFormula>
    </tableColumn>
    <tableColumn id="13" name="Clustering Coefficient Bin" dataDxfId="75"/>
    <tableColumn id="14" name="Clustering Coefficient Frequency" dataDxfId="74">
      <calculatedColumnFormula>COUNTIF(Vertices[Clustering Coefficient], "&gt;= " &amp; R2) - COUNTIF(Vertices[Clustering Coefficient], "&gt;=" &amp; R3)</calculatedColumnFormula>
    </tableColumn>
    <tableColumn id="15" name="Dynamic Filter Bin" dataDxfId="73"/>
    <tableColumn id="16" name="Dynamic Filter Frequency" dataDxfId="7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dataDxfId="0"/>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7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3"/>
  <sheetViews>
    <sheetView workbookViewId="0" topLeftCell="A1">
      <pane xSplit="2" ySplit="2" topLeftCell="C3" activePane="bottomRight" state="frozen"/>
      <selection pane="topRight" activeCell="C1" sqref="C1"/>
      <selection pane="bottomLeft" activeCell="A3" sqref="A3"/>
      <selection pane="bottomRight" activeCell="A2" sqref="A2:T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3.00390625" style="0" bestFit="1" customWidth="1"/>
    <col min="17" max="17" width="13.57421875" style="0" bestFit="1" customWidth="1"/>
    <col min="18" max="18" width="13.28125" style="0" bestFit="1" customWidth="1"/>
    <col min="19" max="20" width="11.140625" style="0" bestFit="1" customWidth="1"/>
    <col min="21" max="21" width="14.421875" style="0" customWidth="1"/>
  </cols>
  <sheetData>
    <row r="1" spans="3:14" ht="15">
      <c r="C1" s="18" t="s">
        <v>39</v>
      </c>
      <c r="D1" s="19"/>
      <c r="E1" s="19"/>
      <c r="F1" s="19"/>
      <c r="G1" s="18"/>
      <c r="H1" s="16" t="s">
        <v>43</v>
      </c>
      <c r="I1" s="63"/>
      <c r="J1" s="63"/>
      <c r="K1" s="35" t="s">
        <v>42</v>
      </c>
      <c r="L1" s="20" t="s">
        <v>40</v>
      </c>
      <c r="M1" s="20"/>
      <c r="N1" s="17" t="s">
        <v>41</v>
      </c>
    </row>
    <row r="2" spans="1:21"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195</v>
      </c>
      <c r="P2" s="13" t="s">
        <v>196</v>
      </c>
      <c r="Q2" s="13" t="s">
        <v>197</v>
      </c>
      <c r="R2" s="13" t="s">
        <v>198</v>
      </c>
      <c r="S2" s="13" t="s">
        <v>297</v>
      </c>
      <c r="T2" s="13" t="s">
        <v>298</v>
      </c>
      <c r="U2" t="s">
        <v>316</v>
      </c>
    </row>
    <row r="3" spans="1:21" ht="15" customHeight="1">
      <c r="A3" s="80" t="s">
        <v>199</v>
      </c>
      <c r="B3" s="80" t="s">
        <v>219</v>
      </c>
      <c r="C3" s="51"/>
      <c r="D3" s="52"/>
      <c r="E3" s="64"/>
      <c r="F3" s="53"/>
      <c r="G3" s="51"/>
      <c r="H3" s="55"/>
      <c r="I3" s="54"/>
      <c r="J3" s="54"/>
      <c r="K3" s="36" t="s">
        <v>65</v>
      </c>
      <c r="L3" s="60">
        <v>3</v>
      </c>
      <c r="M3" s="60"/>
      <c r="N3" s="61"/>
      <c r="O3" s="81" t="s">
        <v>220</v>
      </c>
      <c r="P3" s="83">
        <v>42201.07188657407</v>
      </c>
      <c r="Q3" s="81">
        <v>21</v>
      </c>
      <c r="R3" s="81">
        <v>0</v>
      </c>
      <c r="S3" s="81" t="str">
        <f>REPLACE(INDEX(GroupVertices[Group],MATCH("~"&amp;Edges[[#This Row],[Vertex 1]],GroupVertices[Vertex],0)),1,1,"")</f>
        <v>1</v>
      </c>
      <c r="T3" s="81" t="str">
        <f>REPLACE(INDEX(GroupVertices[Group],MATCH("~"&amp;Edges[[#This Row],[Vertex 2]],GroupVertices[Vertex],0)),1,1,"")</f>
        <v>1</v>
      </c>
      <c r="U3">
        <v>1</v>
      </c>
    </row>
    <row r="4" spans="1:21" ht="15" customHeight="1">
      <c r="A4" s="80" t="s">
        <v>199</v>
      </c>
      <c r="B4" s="80" t="s">
        <v>202</v>
      </c>
      <c r="C4" s="51"/>
      <c r="D4" s="52"/>
      <c r="E4" s="64"/>
      <c r="F4" s="53"/>
      <c r="G4" s="51"/>
      <c r="H4" s="55"/>
      <c r="I4" s="54"/>
      <c r="J4" s="54"/>
      <c r="K4" s="36" t="s">
        <v>65</v>
      </c>
      <c r="L4" s="79">
        <v>4</v>
      </c>
      <c r="M4" s="79"/>
      <c r="N4" s="61"/>
      <c r="O4" s="82" t="s">
        <v>220</v>
      </c>
      <c r="P4" s="84">
        <v>42541.19594907408</v>
      </c>
      <c r="Q4" s="82">
        <v>31</v>
      </c>
      <c r="R4" s="82">
        <v>0</v>
      </c>
      <c r="S4" s="81" t="str">
        <f>REPLACE(INDEX(GroupVertices[Group],MATCH("~"&amp;Edges[[#This Row],[Vertex 1]],GroupVertices[Vertex],0)),1,1,"")</f>
        <v>1</v>
      </c>
      <c r="T4" s="81" t="str">
        <f>REPLACE(INDEX(GroupVertices[Group],MATCH("~"&amp;Edges[[#This Row],[Vertex 2]],GroupVertices[Vertex],0)),1,1,"")</f>
        <v>1</v>
      </c>
      <c r="U4">
        <v>1</v>
      </c>
    </row>
    <row r="5" spans="1:21" ht="15">
      <c r="A5" s="80" t="s">
        <v>199</v>
      </c>
      <c r="B5" s="80" t="s">
        <v>203</v>
      </c>
      <c r="C5" s="51"/>
      <c r="D5" s="52"/>
      <c r="E5" s="64"/>
      <c r="F5" s="53"/>
      <c r="G5" s="51"/>
      <c r="H5" s="55"/>
      <c r="I5" s="54"/>
      <c r="J5" s="54"/>
      <c r="K5" s="36" t="s">
        <v>65</v>
      </c>
      <c r="L5" s="79">
        <v>5</v>
      </c>
      <c r="M5" s="79"/>
      <c r="N5" s="61"/>
      <c r="O5" s="82" t="s">
        <v>220</v>
      </c>
      <c r="P5" s="84">
        <v>41578.884884259256</v>
      </c>
      <c r="Q5" s="82">
        <v>90</v>
      </c>
      <c r="R5" s="82">
        <v>0</v>
      </c>
      <c r="S5" s="81" t="str">
        <f>REPLACE(INDEX(GroupVertices[Group],MATCH("~"&amp;Edges[[#This Row],[Vertex 1]],GroupVertices[Vertex],0)),1,1,"")</f>
        <v>1</v>
      </c>
      <c r="T5" s="81" t="str">
        <f>REPLACE(INDEX(GroupVertices[Group],MATCH("~"&amp;Edges[[#This Row],[Vertex 2]],GroupVertices[Vertex],0)),1,1,"")</f>
        <v>1</v>
      </c>
      <c r="U5">
        <v>1</v>
      </c>
    </row>
    <row r="6" spans="1:21" ht="15">
      <c r="A6" s="80" t="s">
        <v>199</v>
      </c>
      <c r="B6" s="80" t="s">
        <v>204</v>
      </c>
      <c r="C6" s="51"/>
      <c r="D6" s="52"/>
      <c r="E6" s="64"/>
      <c r="F6" s="53"/>
      <c r="G6" s="51"/>
      <c r="H6" s="55"/>
      <c r="I6" s="54"/>
      <c r="J6" s="54"/>
      <c r="K6" s="36" t="s">
        <v>65</v>
      </c>
      <c r="L6" s="79">
        <v>6</v>
      </c>
      <c r="M6" s="79"/>
      <c r="N6" s="61"/>
      <c r="O6" s="82" t="s">
        <v>220</v>
      </c>
      <c r="P6" s="84">
        <v>43920.99796296296</v>
      </c>
      <c r="Q6" s="82">
        <v>1584</v>
      </c>
      <c r="R6" s="82">
        <v>0</v>
      </c>
      <c r="S6" s="81" t="str">
        <f>REPLACE(INDEX(GroupVertices[Group],MATCH("~"&amp;Edges[[#This Row],[Vertex 1]],GroupVertices[Vertex],0)),1,1,"")</f>
        <v>1</v>
      </c>
      <c r="T6" s="81" t="str">
        <f>REPLACE(INDEX(GroupVertices[Group],MATCH("~"&amp;Edges[[#This Row],[Vertex 2]],GroupVertices[Vertex],0)),1,1,"")</f>
        <v>1</v>
      </c>
      <c r="U6">
        <v>1</v>
      </c>
    </row>
    <row r="7" spans="1:21" ht="15">
      <c r="A7" s="80" t="s">
        <v>199</v>
      </c>
      <c r="B7" s="80" t="s">
        <v>205</v>
      </c>
      <c r="C7" s="51"/>
      <c r="D7" s="52"/>
      <c r="E7" s="64"/>
      <c r="F7" s="53"/>
      <c r="G7" s="51"/>
      <c r="H7" s="55"/>
      <c r="I7" s="54"/>
      <c r="J7" s="54"/>
      <c r="K7" s="36" t="s">
        <v>65</v>
      </c>
      <c r="L7" s="79">
        <v>7</v>
      </c>
      <c r="M7" s="79"/>
      <c r="N7" s="61"/>
      <c r="O7" s="82" t="s">
        <v>220</v>
      </c>
      <c r="P7" s="84">
        <v>44241.02685185185</v>
      </c>
      <c r="Q7" s="82">
        <v>421</v>
      </c>
      <c r="R7" s="82">
        <v>0</v>
      </c>
      <c r="S7" s="81" t="str">
        <f>REPLACE(INDEX(GroupVertices[Group],MATCH("~"&amp;Edges[[#This Row],[Vertex 1]],GroupVertices[Vertex],0)),1,1,"")</f>
        <v>1</v>
      </c>
      <c r="T7" s="81" t="str">
        <f>REPLACE(INDEX(GroupVertices[Group],MATCH("~"&amp;Edges[[#This Row],[Vertex 2]],GroupVertices[Vertex],0)),1,1,"")</f>
        <v>1</v>
      </c>
      <c r="U7">
        <v>1</v>
      </c>
    </row>
    <row r="8" spans="1:21" ht="15">
      <c r="A8" s="80" t="s">
        <v>199</v>
      </c>
      <c r="B8" s="80" t="s">
        <v>206</v>
      </c>
      <c r="C8" s="51"/>
      <c r="D8" s="52"/>
      <c r="E8" s="64"/>
      <c r="F8" s="53"/>
      <c r="G8" s="51"/>
      <c r="H8" s="55"/>
      <c r="I8" s="54"/>
      <c r="J8" s="54"/>
      <c r="K8" s="36" t="s">
        <v>65</v>
      </c>
      <c r="L8" s="79">
        <v>8</v>
      </c>
      <c r="M8" s="79"/>
      <c r="N8" s="61"/>
      <c r="O8" s="82" t="s">
        <v>220</v>
      </c>
      <c r="P8" s="84">
        <v>42506.841099537036</v>
      </c>
      <c r="Q8" s="82">
        <v>856</v>
      </c>
      <c r="R8" s="82">
        <v>0</v>
      </c>
      <c r="S8" s="81" t="str">
        <f>REPLACE(INDEX(GroupVertices[Group],MATCH("~"&amp;Edges[[#This Row],[Vertex 1]],GroupVertices[Vertex],0)),1,1,"")</f>
        <v>1</v>
      </c>
      <c r="T8" s="81" t="str">
        <f>REPLACE(INDEX(GroupVertices[Group],MATCH("~"&amp;Edges[[#This Row],[Vertex 2]],GroupVertices[Vertex],0)),1,1,"")</f>
        <v>1</v>
      </c>
      <c r="U8">
        <v>1</v>
      </c>
    </row>
    <row r="9" spans="1:21" ht="15">
      <c r="A9" s="80" t="s">
        <v>199</v>
      </c>
      <c r="B9" s="80" t="s">
        <v>207</v>
      </c>
      <c r="C9" s="51"/>
      <c r="D9" s="52"/>
      <c r="E9" s="64"/>
      <c r="F9" s="53"/>
      <c r="G9" s="51"/>
      <c r="H9" s="55"/>
      <c r="I9" s="54"/>
      <c r="J9" s="54"/>
      <c r="K9" s="36" t="s">
        <v>65</v>
      </c>
      <c r="L9" s="79">
        <v>9</v>
      </c>
      <c r="M9" s="79"/>
      <c r="N9" s="61"/>
      <c r="O9" s="82" t="s">
        <v>220</v>
      </c>
      <c r="P9" s="84">
        <v>42349.098587962966</v>
      </c>
      <c r="Q9" s="82">
        <v>162</v>
      </c>
      <c r="R9" s="82">
        <v>0</v>
      </c>
      <c r="S9" s="81" t="str">
        <f>REPLACE(INDEX(GroupVertices[Group],MATCH("~"&amp;Edges[[#This Row],[Vertex 1]],GroupVertices[Vertex],0)),1,1,"")</f>
        <v>1</v>
      </c>
      <c r="T9" s="81" t="str">
        <f>REPLACE(INDEX(GroupVertices[Group],MATCH("~"&amp;Edges[[#This Row],[Vertex 2]],GroupVertices[Vertex],0)),1,1,"")</f>
        <v>1</v>
      </c>
      <c r="U9">
        <v>1</v>
      </c>
    </row>
    <row r="10" spans="1:21" ht="15">
      <c r="A10" s="80" t="s">
        <v>199</v>
      </c>
      <c r="B10" s="80" t="s">
        <v>208</v>
      </c>
      <c r="C10" s="51"/>
      <c r="D10" s="52"/>
      <c r="E10" s="64"/>
      <c r="F10" s="53"/>
      <c r="G10" s="51"/>
      <c r="H10" s="55"/>
      <c r="I10" s="54"/>
      <c r="J10" s="54"/>
      <c r="K10" s="36" t="s">
        <v>65</v>
      </c>
      <c r="L10" s="79">
        <v>10</v>
      </c>
      <c r="M10" s="79"/>
      <c r="N10" s="61"/>
      <c r="O10" s="82" t="s">
        <v>220</v>
      </c>
      <c r="P10" s="84">
        <v>42395.1093287037</v>
      </c>
      <c r="Q10" s="82">
        <v>0</v>
      </c>
      <c r="R10" s="82">
        <v>0</v>
      </c>
      <c r="S10" s="81" t="str">
        <f>REPLACE(INDEX(GroupVertices[Group],MATCH("~"&amp;Edges[[#This Row],[Vertex 1]],GroupVertices[Vertex],0)),1,1,"")</f>
        <v>1</v>
      </c>
      <c r="T10" s="81" t="str">
        <f>REPLACE(INDEX(GroupVertices[Group],MATCH("~"&amp;Edges[[#This Row],[Vertex 2]],GroupVertices[Vertex],0)),1,1,"")</f>
        <v>1</v>
      </c>
      <c r="U10">
        <v>1</v>
      </c>
    </row>
    <row r="11" spans="1:21" ht="15">
      <c r="A11" s="80" t="s">
        <v>199</v>
      </c>
      <c r="B11" s="80" t="s">
        <v>209</v>
      </c>
      <c r="C11" s="51"/>
      <c r="D11" s="52"/>
      <c r="E11" s="64"/>
      <c r="F11" s="53"/>
      <c r="G11" s="51"/>
      <c r="H11" s="55"/>
      <c r="I11" s="54"/>
      <c r="J11" s="54"/>
      <c r="K11" s="36" t="s">
        <v>65</v>
      </c>
      <c r="L11" s="79">
        <v>11</v>
      </c>
      <c r="M11" s="79"/>
      <c r="N11" s="61"/>
      <c r="O11" s="82" t="s">
        <v>220</v>
      </c>
      <c r="P11" s="84">
        <v>44734.16505787037</v>
      </c>
      <c r="Q11" s="82">
        <v>134</v>
      </c>
      <c r="R11" s="82">
        <v>0</v>
      </c>
      <c r="S11" s="81" t="str">
        <f>REPLACE(INDEX(GroupVertices[Group],MATCH("~"&amp;Edges[[#This Row],[Vertex 1]],GroupVertices[Vertex],0)),1,1,"")</f>
        <v>1</v>
      </c>
      <c r="T11" s="81" t="str">
        <f>REPLACE(INDEX(GroupVertices[Group],MATCH("~"&amp;Edges[[#This Row],[Vertex 2]],GroupVertices[Vertex],0)),1,1,"")</f>
        <v>1</v>
      </c>
      <c r="U11">
        <v>1</v>
      </c>
    </row>
    <row r="12" spans="1:21" ht="15">
      <c r="A12" s="80" t="s">
        <v>199</v>
      </c>
      <c r="B12" s="80" t="s">
        <v>210</v>
      </c>
      <c r="C12" s="51"/>
      <c r="D12" s="52"/>
      <c r="E12" s="64"/>
      <c r="F12" s="53"/>
      <c r="G12" s="51"/>
      <c r="H12" s="55"/>
      <c r="I12" s="54"/>
      <c r="J12" s="54"/>
      <c r="K12" s="36" t="s">
        <v>65</v>
      </c>
      <c r="L12" s="79">
        <v>12</v>
      </c>
      <c r="M12" s="79"/>
      <c r="N12" s="61"/>
      <c r="O12" s="82" t="s">
        <v>220</v>
      </c>
      <c r="P12" s="84">
        <v>42395.10952546296</v>
      </c>
      <c r="Q12" s="82">
        <v>9</v>
      </c>
      <c r="R12" s="82">
        <v>0</v>
      </c>
      <c r="S12" s="81" t="str">
        <f>REPLACE(INDEX(GroupVertices[Group],MATCH("~"&amp;Edges[[#This Row],[Vertex 1]],GroupVertices[Vertex],0)),1,1,"")</f>
        <v>1</v>
      </c>
      <c r="T12" s="81" t="str">
        <f>REPLACE(INDEX(GroupVertices[Group],MATCH("~"&amp;Edges[[#This Row],[Vertex 2]],GroupVertices[Vertex],0)),1,1,"")</f>
        <v>1</v>
      </c>
      <c r="U12">
        <v>1</v>
      </c>
    </row>
    <row r="13" spans="1:21" ht="15">
      <c r="A13" s="80" t="s">
        <v>199</v>
      </c>
      <c r="B13" s="80" t="s">
        <v>211</v>
      </c>
      <c r="C13" s="51"/>
      <c r="D13" s="52"/>
      <c r="E13" s="64"/>
      <c r="F13" s="53"/>
      <c r="G13" s="51"/>
      <c r="H13" s="55"/>
      <c r="I13" s="54"/>
      <c r="J13" s="54"/>
      <c r="K13" s="36" t="s">
        <v>65</v>
      </c>
      <c r="L13" s="79">
        <v>13</v>
      </c>
      <c r="M13" s="79"/>
      <c r="N13" s="61"/>
      <c r="O13" s="82" t="s">
        <v>220</v>
      </c>
      <c r="P13" s="84">
        <v>42327.30056712963</v>
      </c>
      <c r="Q13" s="82">
        <v>137</v>
      </c>
      <c r="R13" s="82">
        <v>0</v>
      </c>
      <c r="S13" s="81" t="str">
        <f>REPLACE(INDEX(GroupVertices[Group],MATCH("~"&amp;Edges[[#This Row],[Vertex 1]],GroupVertices[Vertex],0)),1,1,"")</f>
        <v>1</v>
      </c>
      <c r="T13" s="81" t="str">
        <f>REPLACE(INDEX(GroupVertices[Group],MATCH("~"&amp;Edges[[#This Row],[Vertex 2]],GroupVertices[Vertex],0)),1,1,"")</f>
        <v>1</v>
      </c>
      <c r="U13">
        <v>1</v>
      </c>
    </row>
    <row r="14" spans="1:21" ht="15">
      <c r="A14" s="80" t="s">
        <v>199</v>
      </c>
      <c r="B14" s="80" t="s">
        <v>212</v>
      </c>
      <c r="C14" s="51"/>
      <c r="D14" s="52"/>
      <c r="E14" s="64"/>
      <c r="F14" s="53"/>
      <c r="G14" s="51"/>
      <c r="H14" s="55"/>
      <c r="I14" s="54"/>
      <c r="J14" s="54"/>
      <c r="K14" s="36" t="s">
        <v>65</v>
      </c>
      <c r="L14" s="79">
        <v>14</v>
      </c>
      <c r="M14" s="79"/>
      <c r="N14" s="61"/>
      <c r="O14" s="82" t="s">
        <v>220</v>
      </c>
      <c r="P14" s="84">
        <v>42486.90619212963</v>
      </c>
      <c r="Q14" s="82">
        <v>1122</v>
      </c>
      <c r="R14" s="82">
        <v>0</v>
      </c>
      <c r="S14" s="81" t="str">
        <f>REPLACE(INDEX(GroupVertices[Group],MATCH("~"&amp;Edges[[#This Row],[Vertex 1]],GroupVertices[Vertex],0)),1,1,"")</f>
        <v>1</v>
      </c>
      <c r="T14" s="81" t="str">
        <f>REPLACE(INDEX(GroupVertices[Group],MATCH("~"&amp;Edges[[#This Row],[Vertex 2]],GroupVertices[Vertex],0)),1,1,"")</f>
        <v>1</v>
      </c>
      <c r="U14">
        <v>1</v>
      </c>
    </row>
    <row r="15" spans="1:21" ht="15">
      <c r="A15" s="80" t="s">
        <v>199</v>
      </c>
      <c r="B15" s="80" t="s">
        <v>213</v>
      </c>
      <c r="C15" s="51"/>
      <c r="D15" s="52"/>
      <c r="E15" s="64"/>
      <c r="F15" s="53"/>
      <c r="G15" s="51"/>
      <c r="H15" s="55"/>
      <c r="I15" s="54"/>
      <c r="J15" s="54"/>
      <c r="K15" s="36" t="s">
        <v>65</v>
      </c>
      <c r="L15" s="79">
        <v>15</v>
      </c>
      <c r="M15" s="79"/>
      <c r="N15" s="61"/>
      <c r="O15" s="82" t="s">
        <v>220</v>
      </c>
      <c r="P15" s="84">
        <v>44287.92005787037</v>
      </c>
      <c r="Q15" s="82">
        <v>349</v>
      </c>
      <c r="R15" s="82">
        <v>0</v>
      </c>
      <c r="S15" s="81" t="str">
        <f>REPLACE(INDEX(GroupVertices[Group],MATCH("~"&amp;Edges[[#This Row],[Vertex 1]],GroupVertices[Vertex],0)),1,1,"")</f>
        <v>1</v>
      </c>
      <c r="T15" s="81" t="str">
        <f>REPLACE(INDEX(GroupVertices[Group],MATCH("~"&amp;Edges[[#This Row],[Vertex 2]],GroupVertices[Vertex],0)),1,1,"")</f>
        <v>1</v>
      </c>
      <c r="U15">
        <v>1</v>
      </c>
    </row>
    <row r="16" spans="1:21" ht="15">
      <c r="A16" s="80" t="s">
        <v>200</v>
      </c>
      <c r="B16" s="80" t="s">
        <v>214</v>
      </c>
      <c r="C16" s="51"/>
      <c r="D16" s="52"/>
      <c r="E16" s="64"/>
      <c r="F16" s="53"/>
      <c r="G16" s="51"/>
      <c r="H16" s="55"/>
      <c r="I16" s="54"/>
      <c r="J16" s="54"/>
      <c r="K16" s="36" t="s">
        <v>65</v>
      </c>
      <c r="L16" s="79">
        <v>16</v>
      </c>
      <c r="M16" s="79"/>
      <c r="N16" s="61"/>
      <c r="O16" s="82" t="s">
        <v>220</v>
      </c>
      <c r="P16" s="84">
        <v>43011.62810185185</v>
      </c>
      <c r="Q16" s="82">
        <v>7</v>
      </c>
      <c r="R16" s="82">
        <v>0</v>
      </c>
      <c r="S16" s="81" t="str">
        <f>REPLACE(INDEX(GroupVertices[Group],MATCH("~"&amp;Edges[[#This Row],[Vertex 1]],GroupVertices[Vertex],0)),1,1,"")</f>
        <v>2</v>
      </c>
      <c r="T16" s="81" t="str">
        <f>REPLACE(INDEX(GroupVertices[Group],MATCH("~"&amp;Edges[[#This Row],[Vertex 2]],GroupVertices[Vertex],0)),1,1,"")</f>
        <v>2</v>
      </c>
      <c r="U16">
        <v>1</v>
      </c>
    </row>
    <row r="17" spans="1:21" ht="15">
      <c r="A17" s="80" t="s">
        <v>201</v>
      </c>
      <c r="B17" s="80" t="s">
        <v>215</v>
      </c>
      <c r="C17" s="51"/>
      <c r="D17" s="52"/>
      <c r="E17" s="64"/>
      <c r="F17" s="53"/>
      <c r="G17" s="51"/>
      <c r="H17" s="55"/>
      <c r="I17" s="54"/>
      <c r="J17" s="54"/>
      <c r="K17" s="36" t="s">
        <v>65</v>
      </c>
      <c r="L17" s="79">
        <v>17</v>
      </c>
      <c r="M17" s="79"/>
      <c r="N17" s="61"/>
      <c r="O17" s="82" t="s">
        <v>220</v>
      </c>
      <c r="P17" s="84">
        <v>44273.418275462966</v>
      </c>
      <c r="Q17" s="82">
        <v>121</v>
      </c>
      <c r="R17" s="82">
        <v>0</v>
      </c>
      <c r="S17" s="81" t="str">
        <f>REPLACE(INDEX(GroupVertices[Group],MATCH("~"&amp;Edges[[#This Row],[Vertex 1]],GroupVertices[Vertex],0)),1,1,"")</f>
        <v>2</v>
      </c>
      <c r="T17" s="81" t="str">
        <f>REPLACE(INDEX(GroupVertices[Group],MATCH("~"&amp;Edges[[#This Row],[Vertex 2]],GroupVertices[Vertex],0)),1,1,"")</f>
        <v>2</v>
      </c>
      <c r="U17">
        <v>1</v>
      </c>
    </row>
    <row r="18" spans="1:21" ht="15">
      <c r="A18" s="80" t="s">
        <v>201</v>
      </c>
      <c r="B18" s="80" t="s">
        <v>216</v>
      </c>
      <c r="C18" s="51"/>
      <c r="D18" s="52"/>
      <c r="E18" s="64"/>
      <c r="F18" s="53"/>
      <c r="G18" s="51"/>
      <c r="H18" s="55"/>
      <c r="I18" s="54"/>
      <c r="J18" s="54"/>
      <c r="K18" s="36" t="s">
        <v>65</v>
      </c>
      <c r="L18" s="79">
        <v>18</v>
      </c>
      <c r="M18" s="79"/>
      <c r="N18" s="61"/>
      <c r="O18" s="82" t="s">
        <v>220</v>
      </c>
      <c r="P18" s="84">
        <v>44799.47046296296</v>
      </c>
      <c r="Q18" s="82">
        <v>15</v>
      </c>
      <c r="R18" s="82">
        <v>0</v>
      </c>
      <c r="S18" s="81" t="str">
        <f>REPLACE(INDEX(GroupVertices[Group],MATCH("~"&amp;Edges[[#This Row],[Vertex 1]],GroupVertices[Vertex],0)),1,1,"")</f>
        <v>2</v>
      </c>
      <c r="T18" s="81" t="str">
        <f>REPLACE(INDEX(GroupVertices[Group],MATCH("~"&amp;Edges[[#This Row],[Vertex 2]],GroupVertices[Vertex],0)),1,1,"")</f>
        <v>2</v>
      </c>
      <c r="U18">
        <v>1</v>
      </c>
    </row>
    <row r="19" spans="1:21" ht="15">
      <c r="A19" s="80" t="s">
        <v>201</v>
      </c>
      <c r="B19" s="80" t="s">
        <v>199</v>
      </c>
      <c r="C19" s="51"/>
      <c r="D19" s="52"/>
      <c r="E19" s="64"/>
      <c r="F19" s="53"/>
      <c r="G19" s="51"/>
      <c r="H19" s="55"/>
      <c r="I19" s="54"/>
      <c r="J19" s="54"/>
      <c r="K19" s="36" t="s">
        <v>65</v>
      </c>
      <c r="L19" s="79">
        <v>19</v>
      </c>
      <c r="M19" s="79"/>
      <c r="N19" s="61"/>
      <c r="O19" s="82" t="s">
        <v>220</v>
      </c>
      <c r="P19" s="84">
        <v>44762.794907407406</v>
      </c>
      <c r="Q19" s="82">
        <v>306</v>
      </c>
      <c r="R19" s="82">
        <v>0</v>
      </c>
      <c r="S19" s="81" t="str">
        <f>REPLACE(INDEX(GroupVertices[Group],MATCH("~"&amp;Edges[[#This Row],[Vertex 1]],GroupVertices[Vertex],0)),1,1,"")</f>
        <v>2</v>
      </c>
      <c r="T19" s="81" t="str">
        <f>REPLACE(INDEX(GroupVertices[Group],MATCH("~"&amp;Edges[[#This Row],[Vertex 2]],GroupVertices[Vertex],0)),1,1,"")</f>
        <v>1</v>
      </c>
      <c r="U19">
        <v>1</v>
      </c>
    </row>
    <row r="20" spans="1:21" ht="15">
      <c r="A20" s="80" t="s">
        <v>201</v>
      </c>
      <c r="B20" s="80" t="s">
        <v>200</v>
      </c>
      <c r="C20" s="51"/>
      <c r="D20" s="52"/>
      <c r="E20" s="64"/>
      <c r="F20" s="53"/>
      <c r="G20" s="51"/>
      <c r="H20" s="55"/>
      <c r="I20" s="54"/>
      <c r="J20" s="54"/>
      <c r="K20" s="36" t="s">
        <v>65</v>
      </c>
      <c r="L20" s="79">
        <v>20</v>
      </c>
      <c r="M20" s="79"/>
      <c r="N20" s="61"/>
      <c r="O20" s="82" t="s">
        <v>220</v>
      </c>
      <c r="P20" s="84">
        <v>45132.78726851852</v>
      </c>
      <c r="Q20" s="82">
        <v>150</v>
      </c>
      <c r="R20" s="82">
        <v>0</v>
      </c>
      <c r="S20" s="81" t="str">
        <f>REPLACE(INDEX(GroupVertices[Group],MATCH("~"&amp;Edges[[#This Row],[Vertex 1]],GroupVertices[Vertex],0)),1,1,"")</f>
        <v>2</v>
      </c>
      <c r="T20" s="81" t="str">
        <f>REPLACE(INDEX(GroupVertices[Group],MATCH("~"&amp;Edges[[#This Row],[Vertex 2]],GroupVertices[Vertex],0)),1,1,"")</f>
        <v>2</v>
      </c>
      <c r="U20">
        <v>1</v>
      </c>
    </row>
    <row r="21" spans="1:21" ht="15">
      <c r="A21" s="80" t="s">
        <v>201</v>
      </c>
      <c r="B21" s="80" t="s">
        <v>217</v>
      </c>
      <c r="C21" s="51"/>
      <c r="D21" s="52"/>
      <c r="E21" s="64"/>
      <c r="F21" s="53"/>
      <c r="G21" s="51"/>
      <c r="H21" s="55"/>
      <c r="I21" s="54"/>
      <c r="J21" s="54"/>
      <c r="K21" s="36" t="s">
        <v>65</v>
      </c>
      <c r="L21" s="79">
        <v>21</v>
      </c>
      <c r="M21" s="79"/>
      <c r="N21" s="61"/>
      <c r="O21" s="82" t="s">
        <v>220</v>
      </c>
      <c r="P21" s="84">
        <v>44244.46135416667</v>
      </c>
      <c r="Q21" s="82">
        <v>0</v>
      </c>
      <c r="R21" s="82">
        <v>0</v>
      </c>
      <c r="S21" s="81" t="str">
        <f>REPLACE(INDEX(GroupVertices[Group],MATCH("~"&amp;Edges[[#This Row],[Vertex 1]],GroupVertices[Vertex],0)),1,1,"")</f>
        <v>2</v>
      </c>
      <c r="T21" s="81" t="str">
        <f>REPLACE(INDEX(GroupVertices[Group],MATCH("~"&amp;Edges[[#This Row],[Vertex 2]],GroupVertices[Vertex],0)),1,1,"")</f>
        <v>2</v>
      </c>
      <c r="U21">
        <v>1</v>
      </c>
    </row>
    <row r="22" spans="1:21" ht="15">
      <c r="A22" s="80" t="s">
        <v>201</v>
      </c>
      <c r="B22" s="80" t="s">
        <v>218</v>
      </c>
      <c r="C22" s="51"/>
      <c r="D22" s="52"/>
      <c r="E22" s="64"/>
      <c r="F22" s="53"/>
      <c r="G22" s="51"/>
      <c r="H22" s="55"/>
      <c r="I22" s="54"/>
      <c r="J22" s="54"/>
      <c r="K22" s="36" t="s">
        <v>65</v>
      </c>
      <c r="L22" s="79">
        <v>22</v>
      </c>
      <c r="M22" s="79"/>
      <c r="N22" s="61"/>
      <c r="O22" s="82" t="s">
        <v>220</v>
      </c>
      <c r="P22" s="84">
        <v>44244.45857638889</v>
      </c>
      <c r="Q22" s="82">
        <v>115</v>
      </c>
      <c r="R22" s="82">
        <v>0</v>
      </c>
      <c r="S22" s="81" t="str">
        <f>REPLACE(INDEX(GroupVertices[Group],MATCH("~"&amp;Edges[[#This Row],[Vertex 1]],GroupVertices[Vertex],0)),1,1,"")</f>
        <v>2</v>
      </c>
      <c r="T22" s="81" t="str">
        <f>REPLACE(INDEX(GroupVertices[Group],MATCH("~"&amp;Edges[[#This Row],[Vertex 2]],GroupVertices[Vertex],0)),1,1,"")</f>
        <v>2</v>
      </c>
      <c r="U22">
        <v>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
    <dataValidation allowBlank="1" showErrorMessage="1" sqref="N2:N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
    <dataValidation allowBlank="1" showInputMessage="1" promptTitle="Edge Color" prompt="To select an optional edge color, right-click and select Select Color on the right-click menu." sqref="C3:C22"/>
    <dataValidation allowBlank="1" showInputMessage="1" promptTitle="Edge Width" prompt="Enter an optional edge width between 1 and 10." errorTitle="Invalid Edge Width" error="The optional edge width must be a whole number between 1 and 10." sqref="D3:D22"/>
    <dataValidation allowBlank="1" showInputMessage="1" promptTitle="Edge Opacity" prompt="Enter an optional edge opacity between 0 (transparent) and 100 (opaque)." errorTitle="Invalid Edge Opacity" error="The optional edge opacity must be a whole number between 0 and 10." sqref="F3:F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
      <formula1>ValidEdgeVisibilities</formula1>
    </dataValidation>
    <dataValidation allowBlank="1" showInputMessage="1" showErrorMessage="1" promptTitle="Vertex 1 Name" prompt="Enter the name of the edge's first vertex." sqref="A3:A22"/>
    <dataValidation allowBlank="1" showInputMessage="1" showErrorMessage="1" promptTitle="Vertex 2 Name" prompt="Enter the name of the edge's second vertex." sqref="B3:B22"/>
    <dataValidation allowBlank="1" showInputMessage="1" showErrorMessage="1" promptTitle="Edge Label" prompt="Enter an optional edge label." errorTitle="Invalid Edge Visibility" error="You have entered an unrecognized edge visibility.  Try selecting from the drop-down list instead." sqref="H3:H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F31FF-4706-43FF-934C-771CCD2EBEEB}">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318</v>
      </c>
      <c r="B2" s="120" t="s">
        <v>319</v>
      </c>
      <c r="C2" s="66" t="s">
        <v>320</v>
      </c>
    </row>
    <row r="3" spans="1:3" ht="15">
      <c r="A3" s="119" t="s">
        <v>292</v>
      </c>
      <c r="B3" s="119" t="s">
        <v>292</v>
      </c>
      <c r="C3" s="36">
        <v>13</v>
      </c>
    </row>
    <row r="4" spans="1:3" ht="15">
      <c r="A4" s="119" t="s">
        <v>293</v>
      </c>
      <c r="B4" s="119" t="s">
        <v>292</v>
      </c>
      <c r="C4" s="36">
        <v>1</v>
      </c>
    </row>
    <row r="5" spans="1:3" ht="15">
      <c r="A5" s="119" t="s">
        <v>293</v>
      </c>
      <c r="B5" s="119" t="s">
        <v>293</v>
      </c>
      <c r="C5" s="36">
        <v>6</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23"/>
  <sheetViews>
    <sheetView workbookViewId="0" topLeftCell="A1">
      <pane xSplit="1" ySplit="2" topLeftCell="B3" activePane="bottomRight" state="frozen"/>
      <selection pane="topRight" activeCell="B1" sqref="B1"/>
      <selection pane="bottomLeft" activeCell="A3" sqref="A3"/>
      <selection pane="bottomRight" activeCell="AF29" sqref="AF29"/>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16.140625" style="2" bestFit="1" customWidth="1"/>
    <col min="31" max="31" width="16.140625" style="3" bestFit="1" customWidth="1"/>
    <col min="32" max="32" width="7.28125" style="3" bestFit="1" customWidth="1"/>
    <col min="33" max="33" width="13.421875" style="3" bestFit="1" customWidth="1"/>
    <col min="34" max="34" width="15.140625" style="3" bestFit="1" customWidth="1"/>
    <col min="35" max="35" width="5.00390625" style="0" customWidth="1"/>
    <col min="36" max="36" width="16.00390625" style="0" customWidth="1"/>
    <col min="37" max="37" width="16.00390625" style="0" bestFit="1" customWidth="1"/>
    <col min="38" max="39" width="9.140625" style="0"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3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221</v>
      </c>
      <c r="AE2" s="13" t="s">
        <v>222</v>
      </c>
      <c r="AF2" s="13" t="s">
        <v>223</v>
      </c>
      <c r="AG2" s="13" t="s">
        <v>224</v>
      </c>
      <c r="AH2" s="13" t="s">
        <v>296</v>
      </c>
      <c r="AI2" s="3"/>
      <c r="AJ2" s="3"/>
    </row>
    <row r="3" spans="1:36" ht="15" customHeight="1">
      <c r="A3" s="48" t="s">
        <v>199</v>
      </c>
      <c r="B3" s="51"/>
      <c r="C3" s="51"/>
      <c r="D3" s="52">
        <v>1000</v>
      </c>
      <c r="E3" s="53"/>
      <c r="F3" s="105" t="str">
        <f>HYPERLINK("https://yt3.ggpht.com/ytc/AIf8zZTWFahY0cUFZHwhHbPhLLtZgdjjLAogzLfidWQ51g=s88-c-k-c0x00ffffff-no-rj")</f>
        <v>https://yt3.ggpht.com/ytc/AIf8zZTWFahY0cUFZHwhHbPhLLtZgdjjLAogzLfidWQ51g=s88-c-k-c0x00ffffff-no-rj</v>
      </c>
      <c r="G3" s="51"/>
      <c r="H3" s="55" t="s">
        <v>246</v>
      </c>
      <c r="I3" s="54"/>
      <c r="J3" s="54" t="s">
        <v>75</v>
      </c>
      <c r="K3" s="107" t="s">
        <v>246</v>
      </c>
      <c r="L3" s="57">
        <v>9999</v>
      </c>
      <c r="M3" s="58">
        <v>5080.17578125</v>
      </c>
      <c r="N3" s="58">
        <v>8626.16015625</v>
      </c>
      <c r="O3" s="56"/>
      <c r="P3" s="59"/>
      <c r="Q3" s="59"/>
      <c r="R3" s="49"/>
      <c r="S3" s="49">
        <v>1</v>
      </c>
      <c r="T3" s="49">
        <v>13</v>
      </c>
      <c r="U3" s="50">
        <v>338</v>
      </c>
      <c r="V3" s="50">
        <v>0.740741</v>
      </c>
      <c r="W3" s="50">
        <v>0.360992</v>
      </c>
      <c r="X3" s="50">
        <v>0.123765</v>
      </c>
      <c r="Y3" s="50">
        <v>0</v>
      </c>
      <c r="Z3" s="50">
        <v>0</v>
      </c>
      <c r="AA3" s="60">
        <v>3</v>
      </c>
      <c r="AB3" s="60"/>
      <c r="AC3" s="61"/>
      <c r="AD3" s="81" t="s">
        <v>225</v>
      </c>
      <c r="AE3" s="104" t="str">
        <f>HYPERLINK("http://www.youtube.com/channel/UCcii8ZN-2lH9Dy2yL9Q3E7A")</f>
        <v>http://www.youtube.com/channel/UCcii8ZN-2lH9Dy2yL9Q3E7A</v>
      </c>
      <c r="AF3" s="81" t="s">
        <v>246</v>
      </c>
      <c r="AG3" s="81" t="s">
        <v>263</v>
      </c>
      <c r="AH3" s="81" t="str">
        <f>REPLACE(INDEX(GroupVertices[Group],MATCH("~"&amp;Vertices[[#This Row],[Vertex]],GroupVertices[Vertex],0)),1,1,"")</f>
        <v>1</v>
      </c>
      <c r="AI3" s="3"/>
      <c r="AJ3" s="3"/>
    </row>
    <row r="4" spans="1:39" ht="15">
      <c r="A4" s="14" t="s">
        <v>201</v>
      </c>
      <c r="B4" s="15"/>
      <c r="C4" s="15"/>
      <c r="D4" s="85">
        <v>1000</v>
      </c>
      <c r="E4" s="77"/>
      <c r="F4" s="105" t="str">
        <f>HYPERLINK("https://yt3.ggpht.com/ytc/AIf8zZTpuq18RBToaraPfcjcaPt9rvlziJD2Y97JJRcq6A=s88-c-k-c0x00ffffff-no-rj")</f>
        <v>https://yt3.ggpht.com/ytc/AIf8zZTpuq18RBToaraPfcjcaPt9rvlziJD2Y97JJRcq6A=s88-c-k-c0x00ffffff-no-rj</v>
      </c>
      <c r="G4" s="15"/>
      <c r="H4" s="16" t="s">
        <v>241</v>
      </c>
      <c r="I4" s="65"/>
      <c r="J4" s="65" t="s">
        <v>75</v>
      </c>
      <c r="K4" s="107" t="s">
        <v>241</v>
      </c>
      <c r="L4" s="86">
        <v>5798.656804733728</v>
      </c>
      <c r="M4" s="87">
        <v>3133.489501953125</v>
      </c>
      <c r="N4" s="87">
        <v>1197.755615234375</v>
      </c>
      <c r="O4" s="76"/>
      <c r="P4" s="88"/>
      <c r="Q4" s="88"/>
      <c r="R4" s="89"/>
      <c r="S4" s="49">
        <v>0</v>
      </c>
      <c r="T4" s="49">
        <v>6</v>
      </c>
      <c r="U4" s="50">
        <v>196</v>
      </c>
      <c r="V4" s="50">
        <v>0.588235</v>
      </c>
      <c r="W4" s="50">
        <v>0.363811</v>
      </c>
      <c r="X4" s="50">
        <v>0.070815</v>
      </c>
      <c r="Y4" s="50">
        <v>0</v>
      </c>
      <c r="Z4" s="50">
        <v>0</v>
      </c>
      <c r="AA4" s="78">
        <v>4</v>
      </c>
      <c r="AB4" s="78"/>
      <c r="AC4" s="90"/>
      <c r="AD4" s="81" t="s">
        <v>225</v>
      </c>
      <c r="AE4" s="104" t="str">
        <f>HYPERLINK("http://www.youtube.com/channel/UCbIz_66E4bWyNU_gnVI73bQ")</f>
        <v>http://www.youtube.com/channel/UCbIz_66E4bWyNU_gnVI73bQ</v>
      </c>
      <c r="AF4" s="81" t="s">
        <v>241</v>
      </c>
      <c r="AG4" s="81" t="s">
        <v>258</v>
      </c>
      <c r="AH4" s="81" t="str">
        <f>REPLACE(INDEX(GroupVertices[Group],MATCH("~"&amp;Vertices[[#This Row],[Vertex]],GroupVertices[Vertex],0)),1,1,"")</f>
        <v>2</v>
      </c>
      <c r="AI4" s="2"/>
      <c r="AJ4" s="3"/>
      <c r="AK4" s="3"/>
      <c r="AL4" s="3"/>
      <c r="AM4" s="3"/>
    </row>
    <row r="5" spans="1:39" ht="15">
      <c r="A5" s="14" t="s">
        <v>200</v>
      </c>
      <c r="B5" s="15"/>
      <c r="C5" s="15"/>
      <c r="D5" s="85">
        <v>1000</v>
      </c>
      <c r="E5" s="77"/>
      <c r="F5" s="105" t="str">
        <f>HYPERLINK("https://yt3.ggpht.com/ytc/AIf8zZS_jxa7IBPL_1VxYJI1dwbYQ547x3cc7FToRsPvOw=s88-c-k-c0x00ffffff-no-rj")</f>
        <v>https://yt3.ggpht.com/ytc/AIf8zZS_jxa7IBPL_1VxYJI1dwbYQ547x3cc7FToRsPvOw=s88-c-k-c0x00ffffff-no-rj</v>
      </c>
      <c r="G5" s="15"/>
      <c r="H5" s="16" t="s">
        <v>239</v>
      </c>
      <c r="I5" s="65"/>
      <c r="J5" s="65" t="s">
        <v>75</v>
      </c>
      <c r="K5" s="107" t="s">
        <v>239</v>
      </c>
      <c r="L5" s="86">
        <v>1125.0355029585799</v>
      </c>
      <c r="M5" s="87">
        <v>5245.51025390625</v>
      </c>
      <c r="N5" s="87">
        <v>1239.94287109375</v>
      </c>
      <c r="O5" s="76"/>
      <c r="P5" s="88"/>
      <c r="Q5" s="88"/>
      <c r="R5" s="89"/>
      <c r="S5" s="49">
        <v>1</v>
      </c>
      <c r="T5" s="49">
        <v>1</v>
      </c>
      <c r="U5" s="50">
        <v>38</v>
      </c>
      <c r="V5" s="50">
        <v>0.392157</v>
      </c>
      <c r="W5" s="50">
        <v>0.040969</v>
      </c>
      <c r="X5" s="50">
        <v>0.048868</v>
      </c>
      <c r="Y5" s="50">
        <v>0</v>
      </c>
      <c r="Z5" s="50">
        <v>0</v>
      </c>
      <c r="AA5" s="78">
        <v>5</v>
      </c>
      <c r="AB5" s="78"/>
      <c r="AC5" s="90"/>
      <c r="AD5" s="81" t="s">
        <v>225</v>
      </c>
      <c r="AE5" s="104" t="str">
        <f>HYPERLINK("http://www.youtube.com/channel/UCaFzKCEMfNME-a8l6V43ZAw")</f>
        <v>http://www.youtube.com/channel/UCaFzKCEMfNME-a8l6V43ZAw</v>
      </c>
      <c r="AF5" s="81" t="s">
        <v>239</v>
      </c>
      <c r="AG5" s="81"/>
      <c r="AH5" s="81" t="str">
        <f>REPLACE(INDEX(GroupVertices[Group],MATCH("~"&amp;Vertices[[#This Row],[Vertex]],GroupVertices[Vertex],0)),1,1,"")</f>
        <v>2</v>
      </c>
      <c r="AI5" s="2"/>
      <c r="AJ5" s="3"/>
      <c r="AK5" s="3"/>
      <c r="AL5" s="3"/>
      <c r="AM5" s="3"/>
    </row>
    <row r="6" spans="1:39" ht="15">
      <c r="A6" s="14" t="s">
        <v>219</v>
      </c>
      <c r="B6" s="15"/>
      <c r="C6" s="15"/>
      <c r="D6" s="85">
        <v>20</v>
      </c>
      <c r="E6" s="77"/>
      <c r="F6" s="105" t="str">
        <f>HYPERLINK("https://yt3.ggpht.com/ytc/AIf8zZSFiPeSOVTTdOVJ11xEgOOdMB-KstDW5Cwsw-gvMg=s88-c-k-c0x00ffffff-no-rj")</f>
        <v>https://yt3.ggpht.com/ytc/AIf8zZSFiPeSOVTTdOVJ11xEgOOdMB-KstDW5Cwsw-gvMg=s88-c-k-c0x00ffffff-no-rj</v>
      </c>
      <c r="G6" s="15"/>
      <c r="H6" s="16" t="s">
        <v>226</v>
      </c>
      <c r="I6" s="65"/>
      <c r="J6" s="65" t="s">
        <v>159</v>
      </c>
      <c r="K6" s="107" t="s">
        <v>226</v>
      </c>
      <c r="L6" s="86">
        <v>1</v>
      </c>
      <c r="M6" s="87">
        <v>1023.1475219726562</v>
      </c>
      <c r="N6" s="87">
        <v>9001.0205078125</v>
      </c>
      <c r="O6" s="76"/>
      <c r="P6" s="88"/>
      <c r="Q6" s="88"/>
      <c r="R6" s="89"/>
      <c r="S6" s="49">
        <v>1</v>
      </c>
      <c r="T6" s="49">
        <v>0</v>
      </c>
      <c r="U6" s="50">
        <v>0</v>
      </c>
      <c r="V6" s="50">
        <v>0.434783</v>
      </c>
      <c r="W6" s="50">
        <v>0.236822</v>
      </c>
      <c r="X6" s="50">
        <v>0.041802</v>
      </c>
      <c r="Y6" s="50">
        <v>0</v>
      </c>
      <c r="Z6" s="50">
        <v>0</v>
      </c>
      <c r="AA6" s="78">
        <v>6</v>
      </c>
      <c r="AB6" s="78"/>
      <c r="AC6" s="90"/>
      <c r="AD6" s="81" t="s">
        <v>225</v>
      </c>
      <c r="AE6" s="104" t="str">
        <f>HYPERLINK("http://www.youtube.com/channel/UCxM4D7WRi5RDr9d0RB-EVkQ")</f>
        <v>http://www.youtube.com/channel/UCxM4D7WRi5RDr9d0RB-EVkQ</v>
      </c>
      <c r="AF6" s="81" t="s">
        <v>226</v>
      </c>
      <c r="AG6" s="81" t="s">
        <v>247</v>
      </c>
      <c r="AH6" s="81" t="str">
        <f>REPLACE(INDEX(GroupVertices[Group],MATCH("~"&amp;Vertices[[#This Row],[Vertex]],GroupVertices[Vertex],0)),1,1,"")</f>
        <v>1</v>
      </c>
      <c r="AI6" s="2"/>
      <c r="AJ6" s="3"/>
      <c r="AK6" s="3"/>
      <c r="AL6" s="3"/>
      <c r="AM6" s="3"/>
    </row>
    <row r="7" spans="1:39" ht="15">
      <c r="A7" s="14" t="s">
        <v>202</v>
      </c>
      <c r="B7" s="15"/>
      <c r="C7" s="15"/>
      <c r="D7" s="85">
        <v>20</v>
      </c>
      <c r="E7" s="77"/>
      <c r="F7" s="105" t="str">
        <f>HYPERLINK("https://yt3.ggpht.com/ytc/AIf8zZTsmsyF6K7PyKj2tvgEwHF8quJaW40F66H4RVBZ8w=s88-c-k-c0x00ffffff-no-rj")</f>
        <v>https://yt3.ggpht.com/ytc/AIf8zZTsmsyF6K7PyKj2tvgEwHF8quJaW40F66H4RVBZ8w=s88-c-k-c0x00ffffff-no-rj</v>
      </c>
      <c r="G7" s="15"/>
      <c r="H7" s="16" t="s">
        <v>227</v>
      </c>
      <c r="I7" s="65"/>
      <c r="J7" s="65" t="s">
        <v>159</v>
      </c>
      <c r="K7" s="107" t="s">
        <v>227</v>
      </c>
      <c r="L7" s="86">
        <v>1</v>
      </c>
      <c r="M7" s="87">
        <v>8574.4677734375</v>
      </c>
      <c r="N7" s="87">
        <v>7983.921875</v>
      </c>
      <c r="O7" s="76"/>
      <c r="P7" s="88"/>
      <c r="Q7" s="88"/>
      <c r="R7" s="89"/>
      <c r="S7" s="49">
        <v>1</v>
      </c>
      <c r="T7" s="49">
        <v>0</v>
      </c>
      <c r="U7" s="50">
        <v>0</v>
      </c>
      <c r="V7" s="50">
        <v>0.434783</v>
      </c>
      <c r="W7" s="50">
        <v>0.236822</v>
      </c>
      <c r="X7" s="50">
        <v>0.041802</v>
      </c>
      <c r="Y7" s="50">
        <v>0</v>
      </c>
      <c r="Z7" s="50">
        <v>0</v>
      </c>
      <c r="AA7" s="78">
        <v>7</v>
      </c>
      <c r="AB7" s="78"/>
      <c r="AC7" s="90"/>
      <c r="AD7" s="81" t="s">
        <v>225</v>
      </c>
      <c r="AE7" s="104" t="str">
        <f>HYPERLINK("http://www.youtube.com/channel/UCuYcqLjJi8thrUJCjzLBaow")</f>
        <v>http://www.youtube.com/channel/UCuYcqLjJi8thrUJCjzLBaow</v>
      </c>
      <c r="AF7" s="81" t="s">
        <v>227</v>
      </c>
      <c r="AG7" s="81"/>
      <c r="AH7" s="81" t="str">
        <f>REPLACE(INDEX(GroupVertices[Group],MATCH("~"&amp;Vertices[[#This Row],[Vertex]],GroupVertices[Vertex],0)),1,1,"")</f>
        <v>1</v>
      </c>
      <c r="AI7" s="2"/>
      <c r="AJ7" s="3"/>
      <c r="AK7" s="3"/>
      <c r="AL7" s="3"/>
      <c r="AM7" s="3"/>
    </row>
    <row r="8" spans="1:39" ht="15">
      <c r="A8" s="14" t="s">
        <v>203</v>
      </c>
      <c r="B8" s="15"/>
      <c r="C8" s="15"/>
      <c r="D8" s="85">
        <v>20</v>
      </c>
      <c r="E8" s="77"/>
      <c r="F8" s="105" t="str">
        <f>HYPERLINK("https://yt3.ggpht.com/ytc/AIf8zZSjWDNNLloi5IKZdsiOFcJn7ENo36KKk0xQPObIoA=s88-c-k-c0x00ffffff-no-rj")</f>
        <v>https://yt3.ggpht.com/ytc/AIf8zZSjWDNNLloi5IKZdsiOFcJn7ENo36KKk0xQPObIoA=s88-c-k-c0x00ffffff-no-rj</v>
      </c>
      <c r="G8" s="15"/>
      <c r="H8" s="16" t="s">
        <v>228</v>
      </c>
      <c r="I8" s="65"/>
      <c r="J8" s="65" t="s">
        <v>159</v>
      </c>
      <c r="K8" s="107" t="s">
        <v>228</v>
      </c>
      <c r="L8" s="86">
        <v>1</v>
      </c>
      <c r="M8" s="87">
        <v>739.3626708984375</v>
      </c>
      <c r="N8" s="87">
        <v>8300.748046875</v>
      </c>
      <c r="O8" s="76"/>
      <c r="P8" s="88"/>
      <c r="Q8" s="88"/>
      <c r="R8" s="89"/>
      <c r="S8" s="49">
        <v>1</v>
      </c>
      <c r="T8" s="49">
        <v>0</v>
      </c>
      <c r="U8" s="50">
        <v>0</v>
      </c>
      <c r="V8" s="50">
        <v>0.434783</v>
      </c>
      <c r="W8" s="50">
        <v>0.236822</v>
      </c>
      <c r="X8" s="50">
        <v>0.041802</v>
      </c>
      <c r="Y8" s="50">
        <v>0</v>
      </c>
      <c r="Z8" s="50">
        <v>0</v>
      </c>
      <c r="AA8" s="78">
        <v>8</v>
      </c>
      <c r="AB8" s="78"/>
      <c r="AC8" s="90"/>
      <c r="AD8" s="81" t="s">
        <v>225</v>
      </c>
      <c r="AE8" s="104" t="str">
        <f>HYPERLINK("http://www.youtube.com/channel/UCsMtgr38wPby5SAEw88ISMQ")</f>
        <v>http://www.youtube.com/channel/UCsMtgr38wPby5SAEw88ISMQ</v>
      </c>
      <c r="AF8" s="81" t="s">
        <v>228</v>
      </c>
      <c r="AG8" s="81" t="s">
        <v>248</v>
      </c>
      <c r="AH8" s="81" t="str">
        <f>REPLACE(INDEX(GroupVertices[Group],MATCH("~"&amp;Vertices[[#This Row],[Vertex]],GroupVertices[Vertex],0)),1,1,"")</f>
        <v>1</v>
      </c>
      <c r="AI8" s="2"/>
      <c r="AJ8" s="3"/>
      <c r="AK8" s="3"/>
      <c r="AL8" s="3"/>
      <c r="AM8" s="3"/>
    </row>
    <row r="9" spans="1:39" ht="15">
      <c r="A9" s="14" t="s">
        <v>204</v>
      </c>
      <c r="B9" s="15"/>
      <c r="C9" s="15"/>
      <c r="D9" s="85">
        <v>20</v>
      </c>
      <c r="E9" s="77"/>
      <c r="F9" s="105" t="str">
        <f>HYPERLINK("https://yt3.ggpht.com/ytc/AIf8zZTJoSXweiWib3Y6t3d-1QIbWuUkiQJrYhhKC9AO=s88-c-k-c0x00ffffff-no-rj")</f>
        <v>https://yt3.ggpht.com/ytc/AIf8zZTJoSXweiWib3Y6t3d-1QIbWuUkiQJrYhhKC9AO=s88-c-k-c0x00ffffff-no-rj</v>
      </c>
      <c r="G9" s="15"/>
      <c r="H9" s="16" t="s">
        <v>229</v>
      </c>
      <c r="I9" s="65"/>
      <c r="J9" s="65" t="s">
        <v>159</v>
      </c>
      <c r="K9" s="107" t="s">
        <v>229</v>
      </c>
      <c r="L9" s="86">
        <v>1</v>
      </c>
      <c r="M9" s="87">
        <v>4075.3642578125</v>
      </c>
      <c r="N9" s="87">
        <v>9805.7255859375</v>
      </c>
      <c r="O9" s="76"/>
      <c r="P9" s="88"/>
      <c r="Q9" s="88"/>
      <c r="R9" s="89"/>
      <c r="S9" s="49">
        <v>1</v>
      </c>
      <c r="T9" s="49">
        <v>0</v>
      </c>
      <c r="U9" s="50">
        <v>0</v>
      </c>
      <c r="V9" s="50">
        <v>0.434783</v>
      </c>
      <c r="W9" s="50">
        <v>0.236822</v>
      </c>
      <c r="X9" s="50">
        <v>0.041802</v>
      </c>
      <c r="Y9" s="50">
        <v>0</v>
      </c>
      <c r="Z9" s="50">
        <v>0</v>
      </c>
      <c r="AA9" s="78">
        <v>9</v>
      </c>
      <c r="AB9" s="78"/>
      <c r="AC9" s="90"/>
      <c r="AD9" s="81" t="s">
        <v>225</v>
      </c>
      <c r="AE9" s="104" t="str">
        <f>HYPERLINK("http://www.youtube.com/channel/UCqqjiYoD0nP1fR6vf5AcSfQ")</f>
        <v>http://www.youtube.com/channel/UCqqjiYoD0nP1fR6vf5AcSfQ</v>
      </c>
      <c r="AF9" s="81" t="s">
        <v>229</v>
      </c>
      <c r="AG9" s="81" t="s">
        <v>249</v>
      </c>
      <c r="AH9" s="81" t="str">
        <f>REPLACE(INDEX(GroupVertices[Group],MATCH("~"&amp;Vertices[[#This Row],[Vertex]],GroupVertices[Vertex],0)),1,1,"")</f>
        <v>1</v>
      </c>
      <c r="AI9" s="2"/>
      <c r="AJ9" s="3"/>
      <c r="AK9" s="3"/>
      <c r="AL9" s="3"/>
      <c r="AM9" s="3"/>
    </row>
    <row r="10" spans="1:39" ht="15">
      <c r="A10" s="14" t="s">
        <v>205</v>
      </c>
      <c r="B10" s="15"/>
      <c r="C10" s="15"/>
      <c r="D10" s="85">
        <v>20</v>
      </c>
      <c r="E10" s="77"/>
      <c r="F10" s="105" t="str">
        <f>HYPERLINK("https://yt3.ggpht.com/ytc/AIf8zZQEi2srvV_Q-qxJH5s0MKE-VAAf80OIcmo1lwjE=s88-c-k-c0x00ffffff-no-rj")</f>
        <v>https://yt3.ggpht.com/ytc/AIf8zZQEi2srvV_Q-qxJH5s0MKE-VAAf80OIcmo1lwjE=s88-c-k-c0x00ffffff-no-rj</v>
      </c>
      <c r="G10" s="15"/>
      <c r="H10" s="16" t="s">
        <v>230</v>
      </c>
      <c r="I10" s="65"/>
      <c r="J10" s="65" t="s">
        <v>159</v>
      </c>
      <c r="K10" s="107" t="s">
        <v>230</v>
      </c>
      <c r="L10" s="86">
        <v>1</v>
      </c>
      <c r="M10" s="87">
        <v>9259.6376953125</v>
      </c>
      <c r="N10" s="87">
        <v>8555.3271484375</v>
      </c>
      <c r="O10" s="76"/>
      <c r="P10" s="88"/>
      <c r="Q10" s="88"/>
      <c r="R10" s="89"/>
      <c r="S10" s="49">
        <v>1</v>
      </c>
      <c r="T10" s="49">
        <v>0</v>
      </c>
      <c r="U10" s="50">
        <v>0</v>
      </c>
      <c r="V10" s="50">
        <v>0.434783</v>
      </c>
      <c r="W10" s="50">
        <v>0.236822</v>
      </c>
      <c r="X10" s="50">
        <v>0.041802</v>
      </c>
      <c r="Y10" s="50">
        <v>0</v>
      </c>
      <c r="Z10" s="50">
        <v>0</v>
      </c>
      <c r="AA10" s="78">
        <v>10</v>
      </c>
      <c r="AB10" s="78"/>
      <c r="AC10" s="90"/>
      <c r="AD10" s="81" t="s">
        <v>225</v>
      </c>
      <c r="AE10" s="104" t="str">
        <f>HYPERLINK("http://www.youtube.com/channel/UClQT6Vnsm6BUm0I5kR26EkQ")</f>
        <v>http://www.youtube.com/channel/UClQT6Vnsm6BUm0I5kR26EkQ</v>
      </c>
      <c r="AF10" s="81" t="s">
        <v>230</v>
      </c>
      <c r="AG10" s="81" t="s">
        <v>250</v>
      </c>
      <c r="AH10" s="81" t="str">
        <f>REPLACE(INDEX(GroupVertices[Group],MATCH("~"&amp;Vertices[[#This Row],[Vertex]],GroupVertices[Vertex],0)),1,1,"")</f>
        <v>1</v>
      </c>
      <c r="AI10" s="2"/>
      <c r="AJ10" s="3"/>
      <c r="AK10" s="3"/>
      <c r="AL10" s="3"/>
      <c r="AM10" s="3"/>
    </row>
    <row r="11" spans="1:39" ht="15">
      <c r="A11" s="14" t="s">
        <v>206</v>
      </c>
      <c r="B11" s="15"/>
      <c r="C11" s="15"/>
      <c r="D11" s="85">
        <v>20</v>
      </c>
      <c r="E11" s="77"/>
      <c r="F11" s="105" t="str">
        <f>HYPERLINK("https://yt3.ggpht.com/ytc/AIf8zZSS3SBOiIllXxYOqSUIdz-ZpzvOtSvQx3HVsuwncP8=s88-c-k-c0x00ffffff-no-rj")</f>
        <v>https://yt3.ggpht.com/ytc/AIf8zZSS3SBOiIllXxYOqSUIdz-ZpzvOtSvQx3HVsuwncP8=s88-c-k-c0x00ffffff-no-rj</v>
      </c>
      <c r="G11" s="15"/>
      <c r="H11" s="16" t="s">
        <v>231</v>
      </c>
      <c r="I11" s="65"/>
      <c r="J11" s="65" t="s">
        <v>159</v>
      </c>
      <c r="K11" s="107" t="s">
        <v>231</v>
      </c>
      <c r="L11" s="86">
        <v>1</v>
      </c>
      <c r="M11" s="87">
        <v>9004.4404296875</v>
      </c>
      <c r="N11" s="87">
        <v>9260.0654296875</v>
      </c>
      <c r="O11" s="76"/>
      <c r="P11" s="88"/>
      <c r="Q11" s="88"/>
      <c r="R11" s="89"/>
      <c r="S11" s="49">
        <v>1</v>
      </c>
      <c r="T11" s="49">
        <v>0</v>
      </c>
      <c r="U11" s="50">
        <v>0</v>
      </c>
      <c r="V11" s="50">
        <v>0.434783</v>
      </c>
      <c r="W11" s="50">
        <v>0.236822</v>
      </c>
      <c r="X11" s="50">
        <v>0.041802</v>
      </c>
      <c r="Y11" s="50">
        <v>0</v>
      </c>
      <c r="Z11" s="50">
        <v>0</v>
      </c>
      <c r="AA11" s="78">
        <v>11</v>
      </c>
      <c r="AB11" s="78"/>
      <c r="AC11" s="90"/>
      <c r="AD11" s="81" t="s">
        <v>225</v>
      </c>
      <c r="AE11" s="104" t="str">
        <f>HYPERLINK("http://www.youtube.com/channel/UCiMPkzrVSCEDm3TatvdVylw")</f>
        <v>http://www.youtube.com/channel/UCiMPkzrVSCEDm3TatvdVylw</v>
      </c>
      <c r="AF11" s="81" t="s">
        <v>231</v>
      </c>
      <c r="AG11" s="81" t="s">
        <v>251</v>
      </c>
      <c r="AH11" s="81" t="str">
        <f>REPLACE(INDEX(GroupVertices[Group],MATCH("~"&amp;Vertices[[#This Row],[Vertex]],GroupVertices[Vertex],0)),1,1,"")</f>
        <v>1</v>
      </c>
      <c r="AI11" s="2"/>
      <c r="AJ11" s="3"/>
      <c r="AK11" s="3"/>
      <c r="AL11" s="3"/>
      <c r="AM11" s="3"/>
    </row>
    <row r="12" spans="1:39" ht="15">
      <c r="A12" s="14" t="s">
        <v>207</v>
      </c>
      <c r="B12" s="15"/>
      <c r="C12" s="15"/>
      <c r="D12" s="85">
        <v>20</v>
      </c>
      <c r="E12" s="77"/>
      <c r="F12" s="105" t="str">
        <f>HYPERLINK("https://yt3.ggpht.com/ytc/AIf8zZSRQgt0-CfKG1RKJZRXW_3E3BffZPI7h_F6iGWG8g=s88-c-k-c0x00ffffff-no-rj")</f>
        <v>https://yt3.ggpht.com/ytc/AIf8zZSRQgt0-CfKG1RKJZRXW_3E3BffZPI7h_F6iGWG8g=s88-c-k-c0x00ffffff-no-rj</v>
      </c>
      <c r="G12" s="15"/>
      <c r="H12" s="16" t="s">
        <v>232</v>
      </c>
      <c r="I12" s="65"/>
      <c r="J12" s="65" t="s">
        <v>159</v>
      </c>
      <c r="K12" s="107" t="s">
        <v>232</v>
      </c>
      <c r="L12" s="86">
        <v>1</v>
      </c>
      <c r="M12" s="87">
        <v>2211.64990234375</v>
      </c>
      <c r="N12" s="87">
        <v>9509.04296875</v>
      </c>
      <c r="O12" s="76"/>
      <c r="P12" s="88"/>
      <c r="Q12" s="88"/>
      <c r="R12" s="89"/>
      <c r="S12" s="49">
        <v>1</v>
      </c>
      <c r="T12" s="49">
        <v>0</v>
      </c>
      <c r="U12" s="50">
        <v>0</v>
      </c>
      <c r="V12" s="50">
        <v>0.434783</v>
      </c>
      <c r="W12" s="50">
        <v>0.236822</v>
      </c>
      <c r="X12" s="50">
        <v>0.041802</v>
      </c>
      <c r="Y12" s="50">
        <v>0</v>
      </c>
      <c r="Z12" s="50">
        <v>0</v>
      </c>
      <c r="AA12" s="78">
        <v>12</v>
      </c>
      <c r="AB12" s="78"/>
      <c r="AC12" s="90"/>
      <c r="AD12" s="81" t="s">
        <v>225</v>
      </c>
      <c r="AE12" s="104" t="str">
        <f>HYPERLINK("http://www.youtube.com/channel/UCZn9XBZ0ef1L6zwfA5oIpfw")</f>
        <v>http://www.youtube.com/channel/UCZn9XBZ0ef1L6zwfA5oIpfw</v>
      </c>
      <c r="AF12" s="81" t="s">
        <v>232</v>
      </c>
      <c r="AG12" s="81" t="s">
        <v>252</v>
      </c>
      <c r="AH12" s="81" t="str">
        <f>REPLACE(INDEX(GroupVertices[Group],MATCH("~"&amp;Vertices[[#This Row],[Vertex]],GroupVertices[Vertex],0)),1,1,"")</f>
        <v>1</v>
      </c>
      <c r="AI12" s="2"/>
      <c r="AJ12" s="3"/>
      <c r="AK12" s="3"/>
      <c r="AL12" s="3"/>
      <c r="AM12" s="3"/>
    </row>
    <row r="13" spans="1:39" ht="15">
      <c r="A13" s="14" t="s">
        <v>208</v>
      </c>
      <c r="B13" s="15"/>
      <c r="C13" s="15"/>
      <c r="D13" s="85">
        <v>20</v>
      </c>
      <c r="E13" s="77"/>
      <c r="F13" s="105" t="str">
        <f>HYPERLINK("https://yt3.ggpht.com/ytc/AIf8zZR3i6MCHQSzM8JknVNC2BYSZSGVVOysY8GRGJRj=s88-c-k-c0x00ffffff-no-rj")</f>
        <v>https://yt3.ggpht.com/ytc/AIf8zZR3i6MCHQSzM8JknVNC2BYSZSGVVOysY8GRGJRj=s88-c-k-c0x00ffffff-no-rj</v>
      </c>
      <c r="G13" s="15"/>
      <c r="H13" s="16" t="s">
        <v>233</v>
      </c>
      <c r="I13" s="65"/>
      <c r="J13" s="65" t="s">
        <v>159</v>
      </c>
      <c r="K13" s="107" t="s">
        <v>233</v>
      </c>
      <c r="L13" s="86">
        <v>1</v>
      </c>
      <c r="M13" s="87">
        <v>4993.86181640625</v>
      </c>
      <c r="N13" s="87">
        <v>7423.0380859375</v>
      </c>
      <c r="O13" s="76"/>
      <c r="P13" s="88"/>
      <c r="Q13" s="88"/>
      <c r="R13" s="89"/>
      <c r="S13" s="49">
        <v>1</v>
      </c>
      <c r="T13" s="49">
        <v>0</v>
      </c>
      <c r="U13" s="50">
        <v>0</v>
      </c>
      <c r="V13" s="50">
        <v>0.434783</v>
      </c>
      <c r="W13" s="50">
        <v>0.236822</v>
      </c>
      <c r="X13" s="50">
        <v>0.041802</v>
      </c>
      <c r="Y13" s="50">
        <v>0</v>
      </c>
      <c r="Z13" s="50">
        <v>0</v>
      </c>
      <c r="AA13" s="78">
        <v>13</v>
      </c>
      <c r="AB13" s="78"/>
      <c r="AC13" s="90"/>
      <c r="AD13" s="81" t="s">
        <v>225</v>
      </c>
      <c r="AE13" s="104" t="str">
        <f>HYPERLINK("http://www.youtube.com/channel/UCSOknnmnLqXZRQXM8uzh7Tw")</f>
        <v>http://www.youtube.com/channel/UCSOknnmnLqXZRQXM8uzh7Tw</v>
      </c>
      <c r="AF13" s="81" t="s">
        <v>233</v>
      </c>
      <c r="AG13" s="81"/>
      <c r="AH13" s="81" t="str">
        <f>REPLACE(INDEX(GroupVertices[Group],MATCH("~"&amp;Vertices[[#This Row],[Vertex]],GroupVertices[Vertex],0)),1,1,"")</f>
        <v>1</v>
      </c>
      <c r="AI13" s="2"/>
      <c r="AJ13" s="3"/>
      <c r="AK13" s="3"/>
      <c r="AL13" s="3"/>
      <c r="AM13" s="3"/>
    </row>
    <row r="14" spans="1:39" ht="15">
      <c r="A14" s="14" t="s">
        <v>209</v>
      </c>
      <c r="B14" s="15"/>
      <c r="C14" s="15"/>
      <c r="D14" s="85">
        <v>20</v>
      </c>
      <c r="E14" s="77"/>
      <c r="F14" s="105" t="str">
        <f>HYPERLINK("https://yt3.ggpht.com/ytc/AIf8zZQWqVzIJTCvndF2dRjs2K1TYj_VvmLQVFDZefYW2w=s88-c-k-c0x00ffffff-no-rj")</f>
        <v>https://yt3.ggpht.com/ytc/AIf8zZQWqVzIJTCvndF2dRjs2K1TYj_VvmLQVFDZefYW2w=s88-c-k-c0x00ffffff-no-rj</v>
      </c>
      <c r="G14" s="15"/>
      <c r="H14" s="16" t="s">
        <v>234</v>
      </c>
      <c r="I14" s="65"/>
      <c r="J14" s="65" t="s">
        <v>159</v>
      </c>
      <c r="K14" s="107" t="s">
        <v>234</v>
      </c>
      <c r="L14" s="86">
        <v>1</v>
      </c>
      <c r="M14" s="87">
        <v>6709.78271484375</v>
      </c>
      <c r="N14" s="87">
        <v>9178.841796875</v>
      </c>
      <c r="O14" s="76"/>
      <c r="P14" s="88"/>
      <c r="Q14" s="88"/>
      <c r="R14" s="89"/>
      <c r="S14" s="49">
        <v>1</v>
      </c>
      <c r="T14" s="49">
        <v>0</v>
      </c>
      <c r="U14" s="50">
        <v>0</v>
      </c>
      <c r="V14" s="50">
        <v>0.434783</v>
      </c>
      <c r="W14" s="50">
        <v>0.236822</v>
      </c>
      <c r="X14" s="50">
        <v>0.041802</v>
      </c>
      <c r="Y14" s="50">
        <v>0</v>
      </c>
      <c r="Z14" s="50">
        <v>0</v>
      </c>
      <c r="AA14" s="78">
        <v>14</v>
      </c>
      <c r="AB14" s="78"/>
      <c r="AC14" s="90"/>
      <c r="AD14" s="81" t="s">
        <v>225</v>
      </c>
      <c r="AE14" s="104" t="str">
        <f>HYPERLINK("http://www.youtube.com/channel/UCQ01UzLycVtk6LmvVZC1eMg")</f>
        <v>http://www.youtube.com/channel/UCQ01UzLycVtk6LmvVZC1eMg</v>
      </c>
      <c r="AF14" s="81" t="s">
        <v>234</v>
      </c>
      <c r="AG14" s="81" t="s">
        <v>253</v>
      </c>
      <c r="AH14" s="81" t="str">
        <f>REPLACE(INDEX(GroupVertices[Group],MATCH("~"&amp;Vertices[[#This Row],[Vertex]],GroupVertices[Vertex],0)),1,1,"")</f>
        <v>1</v>
      </c>
      <c r="AI14" s="2"/>
      <c r="AJ14" s="3"/>
      <c r="AK14" s="3"/>
      <c r="AL14" s="3"/>
      <c r="AM14" s="3"/>
    </row>
    <row r="15" spans="1:39" ht="15">
      <c r="A15" s="14" t="s">
        <v>210</v>
      </c>
      <c r="B15" s="15"/>
      <c r="C15" s="15"/>
      <c r="D15" s="85">
        <v>20</v>
      </c>
      <c r="E15" s="77"/>
      <c r="F15" s="105" t="str">
        <f>HYPERLINK("https://yt3.ggpht.com/ytc/AIf8zZRv9YMsWW1KZ0wQnNA85rDdKKw3pP8TcGjDYCaFTA=s88-c-k-c0x00ffffff-no-rj")</f>
        <v>https://yt3.ggpht.com/ytc/AIf8zZRv9YMsWW1KZ0wQnNA85rDdKKw3pP8TcGjDYCaFTA=s88-c-k-c0x00ffffff-no-rj</v>
      </c>
      <c r="G15" s="15"/>
      <c r="H15" s="16" t="s">
        <v>235</v>
      </c>
      <c r="I15" s="65"/>
      <c r="J15" s="65" t="s">
        <v>159</v>
      </c>
      <c r="K15" s="107" t="s">
        <v>235</v>
      </c>
      <c r="L15" s="86">
        <v>1</v>
      </c>
      <c r="M15" s="87">
        <v>7052.6650390625</v>
      </c>
      <c r="N15" s="87">
        <v>7578.72802734375</v>
      </c>
      <c r="O15" s="76"/>
      <c r="P15" s="88"/>
      <c r="Q15" s="88"/>
      <c r="R15" s="89"/>
      <c r="S15" s="49">
        <v>1</v>
      </c>
      <c r="T15" s="49">
        <v>0</v>
      </c>
      <c r="U15" s="50">
        <v>0</v>
      </c>
      <c r="V15" s="50">
        <v>0.434783</v>
      </c>
      <c r="W15" s="50">
        <v>0.236822</v>
      </c>
      <c r="X15" s="50">
        <v>0.041802</v>
      </c>
      <c r="Y15" s="50">
        <v>0</v>
      </c>
      <c r="Z15" s="50">
        <v>0</v>
      </c>
      <c r="AA15" s="78">
        <v>15</v>
      </c>
      <c r="AB15" s="78"/>
      <c r="AC15" s="90"/>
      <c r="AD15" s="81" t="s">
        <v>225</v>
      </c>
      <c r="AE15" s="104" t="str">
        <f>HYPERLINK("http://www.youtube.com/channel/UCIEim7TMQ9FRIykPWSYIwUg")</f>
        <v>http://www.youtube.com/channel/UCIEim7TMQ9FRIykPWSYIwUg</v>
      </c>
      <c r="AF15" s="81" t="s">
        <v>235</v>
      </c>
      <c r="AG15" s="81" t="s">
        <v>254</v>
      </c>
      <c r="AH15" s="81" t="str">
        <f>REPLACE(INDEX(GroupVertices[Group],MATCH("~"&amp;Vertices[[#This Row],[Vertex]],GroupVertices[Vertex],0)),1,1,"")</f>
        <v>1</v>
      </c>
      <c r="AI15" s="2"/>
      <c r="AJ15" s="3"/>
      <c r="AK15" s="3"/>
      <c r="AL15" s="3"/>
      <c r="AM15" s="3"/>
    </row>
    <row r="16" spans="1:39" ht="15">
      <c r="A16" s="14" t="s">
        <v>211</v>
      </c>
      <c r="B16" s="15"/>
      <c r="C16" s="15"/>
      <c r="D16" s="85">
        <v>20</v>
      </c>
      <c r="E16" s="77"/>
      <c r="F16" s="105" t="str">
        <f>HYPERLINK("https://yt3.ggpht.com/jMwLlrJjEGWtIDe8RFKnTFKxxPFOQ9T7gUjej0dxkjl7Vl9LawM9uKtBqBo4WJtyWmEW478w6Q=s88-c-k-c0x00ffffff-no-rj")</f>
        <v>https://yt3.ggpht.com/jMwLlrJjEGWtIDe8RFKnTFKxxPFOQ9T7gUjej0dxkjl7Vl9LawM9uKtBqBo4WJtyWmEW478w6Q=s88-c-k-c0x00ffffff-no-rj</v>
      </c>
      <c r="G16" s="15"/>
      <c r="H16" s="16" t="s">
        <v>236</v>
      </c>
      <c r="I16" s="65"/>
      <c r="J16" s="65" t="s">
        <v>159</v>
      </c>
      <c r="K16" s="107" t="s">
        <v>236</v>
      </c>
      <c r="L16" s="86">
        <v>1</v>
      </c>
      <c r="M16" s="87">
        <v>6527.25439453125</v>
      </c>
      <c r="N16" s="87">
        <v>9838.955078125</v>
      </c>
      <c r="O16" s="76"/>
      <c r="P16" s="88"/>
      <c r="Q16" s="88"/>
      <c r="R16" s="89"/>
      <c r="S16" s="49">
        <v>1</v>
      </c>
      <c r="T16" s="49">
        <v>0</v>
      </c>
      <c r="U16" s="50">
        <v>0</v>
      </c>
      <c r="V16" s="50">
        <v>0.434783</v>
      </c>
      <c r="W16" s="50">
        <v>0.236822</v>
      </c>
      <c r="X16" s="50">
        <v>0.041802</v>
      </c>
      <c r="Y16" s="50">
        <v>0</v>
      </c>
      <c r="Z16" s="50">
        <v>0</v>
      </c>
      <c r="AA16" s="78">
        <v>16</v>
      </c>
      <c r="AB16" s="78"/>
      <c r="AC16" s="90"/>
      <c r="AD16" s="81" t="s">
        <v>225</v>
      </c>
      <c r="AE16" s="104" t="str">
        <f>HYPERLINK("http://www.youtube.com/channel/UCBc6O9ZkUZfBdYCmHLZVZsQ")</f>
        <v>http://www.youtube.com/channel/UCBc6O9ZkUZfBdYCmHLZVZsQ</v>
      </c>
      <c r="AF16" s="81" t="s">
        <v>236</v>
      </c>
      <c r="AG16" s="81" t="s">
        <v>255</v>
      </c>
      <c r="AH16" s="81" t="str">
        <f>REPLACE(INDEX(GroupVertices[Group],MATCH("~"&amp;Vertices[[#This Row],[Vertex]],GroupVertices[Vertex],0)),1,1,"")</f>
        <v>1</v>
      </c>
      <c r="AI16" s="2"/>
      <c r="AJ16" s="3"/>
      <c r="AK16" s="3"/>
      <c r="AL16" s="3"/>
      <c r="AM16" s="3"/>
    </row>
    <row r="17" spans="1:39" ht="15">
      <c r="A17" s="14" t="s">
        <v>212</v>
      </c>
      <c r="B17" s="15"/>
      <c r="C17" s="15"/>
      <c r="D17" s="85">
        <v>20</v>
      </c>
      <c r="E17" s="77"/>
      <c r="F17" s="105" t="str">
        <f>HYPERLINK("https://yt3.ggpht.com/ytc/AIf8zZS1f4h5_6nP1O44hyle2YkLdVUBrRp7fLA6Ah44CQ=s88-c-k-c0x00ffffff-no-rj")</f>
        <v>https://yt3.ggpht.com/ytc/AIf8zZS1f4h5_6nP1O44hyle2YkLdVUBrRp7fLA6Ah44CQ=s88-c-k-c0x00ffffff-no-rj</v>
      </c>
      <c r="G17" s="15"/>
      <c r="H17" s="16" t="s">
        <v>237</v>
      </c>
      <c r="I17" s="65"/>
      <c r="J17" s="65" t="s">
        <v>159</v>
      </c>
      <c r="K17" s="107" t="s">
        <v>237</v>
      </c>
      <c r="L17" s="86">
        <v>1</v>
      </c>
      <c r="M17" s="87">
        <v>3022.88720703125</v>
      </c>
      <c r="N17" s="87">
        <v>8213.2509765625</v>
      </c>
      <c r="O17" s="76"/>
      <c r="P17" s="88"/>
      <c r="Q17" s="88"/>
      <c r="R17" s="89"/>
      <c r="S17" s="49">
        <v>1</v>
      </c>
      <c r="T17" s="49">
        <v>0</v>
      </c>
      <c r="U17" s="50">
        <v>0</v>
      </c>
      <c r="V17" s="50">
        <v>0.434783</v>
      </c>
      <c r="W17" s="50">
        <v>0.236822</v>
      </c>
      <c r="X17" s="50">
        <v>0.041802</v>
      </c>
      <c r="Y17" s="50">
        <v>0</v>
      </c>
      <c r="Z17" s="50">
        <v>0</v>
      </c>
      <c r="AA17" s="78">
        <v>17</v>
      </c>
      <c r="AB17" s="78"/>
      <c r="AC17" s="90"/>
      <c r="AD17" s="81" t="s">
        <v>225</v>
      </c>
      <c r="AE17" s="104" t="str">
        <f>HYPERLINK("http://www.youtube.com/channel/UC7FCUF2yedOT-Ot55kKZ1iw")</f>
        <v>http://www.youtube.com/channel/UC7FCUF2yedOT-Ot55kKZ1iw</v>
      </c>
      <c r="AF17" s="81" t="s">
        <v>237</v>
      </c>
      <c r="AG17" s="81" t="s">
        <v>256</v>
      </c>
      <c r="AH17" s="81" t="str">
        <f>REPLACE(INDEX(GroupVertices[Group],MATCH("~"&amp;Vertices[[#This Row],[Vertex]],GroupVertices[Vertex],0)),1,1,"")</f>
        <v>1</v>
      </c>
      <c r="AI17" s="2"/>
      <c r="AJ17" s="3"/>
      <c r="AK17" s="3"/>
      <c r="AL17" s="3"/>
      <c r="AM17" s="3"/>
    </row>
    <row r="18" spans="1:39" ht="15">
      <c r="A18" s="14" t="s">
        <v>213</v>
      </c>
      <c r="B18" s="15"/>
      <c r="C18" s="15"/>
      <c r="D18" s="85">
        <v>20</v>
      </c>
      <c r="E18" s="77"/>
      <c r="F18" s="105" t="str">
        <f>HYPERLINK("https://yt3.ggpht.com/1lL28L22VWNMB2a1VBl2fQ5N9uavBxUEfLBqMyKhkAvOo144svRrguJgeLpITMyx5Di7g0aqmQ=s88-c-k-c0x00ffffff-no-rj")</f>
        <v>https://yt3.ggpht.com/1lL28L22VWNMB2a1VBl2fQ5N9uavBxUEfLBqMyKhkAvOo144svRrguJgeLpITMyx5Di7g0aqmQ=s88-c-k-c0x00ffffff-no-rj</v>
      </c>
      <c r="G18" s="15"/>
      <c r="H18" s="16" t="s">
        <v>238</v>
      </c>
      <c r="I18" s="65"/>
      <c r="J18" s="65" t="s">
        <v>159</v>
      </c>
      <c r="K18" s="107" t="s">
        <v>238</v>
      </c>
      <c r="L18" s="86">
        <v>1</v>
      </c>
      <c r="M18" s="87">
        <v>2572.006591796875</v>
      </c>
      <c r="N18" s="87">
        <v>7558.6982421875</v>
      </c>
      <c r="O18" s="76"/>
      <c r="P18" s="88"/>
      <c r="Q18" s="88"/>
      <c r="R18" s="89"/>
      <c r="S18" s="49">
        <v>1</v>
      </c>
      <c r="T18" s="49">
        <v>0</v>
      </c>
      <c r="U18" s="50">
        <v>0</v>
      </c>
      <c r="V18" s="50">
        <v>0.434783</v>
      </c>
      <c r="W18" s="50">
        <v>0.236822</v>
      </c>
      <c r="X18" s="50">
        <v>0.041802</v>
      </c>
      <c r="Y18" s="50">
        <v>0</v>
      </c>
      <c r="Z18" s="50">
        <v>0</v>
      </c>
      <c r="AA18" s="78">
        <v>18</v>
      </c>
      <c r="AB18" s="78"/>
      <c r="AC18" s="90"/>
      <c r="AD18" s="81" t="s">
        <v>225</v>
      </c>
      <c r="AE18" s="104" t="str">
        <f>HYPERLINK("http://www.youtube.com/channel/UC4gPNusMDwx2Xm-YI35AkCA")</f>
        <v>http://www.youtube.com/channel/UC4gPNusMDwx2Xm-YI35AkCA</v>
      </c>
      <c r="AF18" s="81" t="s">
        <v>238</v>
      </c>
      <c r="AG18" s="81" t="s">
        <v>257</v>
      </c>
      <c r="AH18" s="81" t="str">
        <f>REPLACE(INDEX(GroupVertices[Group],MATCH("~"&amp;Vertices[[#This Row],[Vertex]],GroupVertices[Vertex],0)),1,1,"")</f>
        <v>1</v>
      </c>
      <c r="AI18" s="2"/>
      <c r="AJ18" s="3"/>
      <c r="AK18" s="3"/>
      <c r="AL18" s="3"/>
      <c r="AM18" s="3"/>
    </row>
    <row r="19" spans="1:39" ht="15">
      <c r="A19" s="14" t="s">
        <v>214</v>
      </c>
      <c r="B19" s="15"/>
      <c r="C19" s="15"/>
      <c r="D19" s="85">
        <v>20</v>
      </c>
      <c r="E19" s="77"/>
      <c r="F19" s="105" t="str">
        <f>HYPERLINK("https://yt3.ggpht.com/ytc/AIf8zZSuTQHbTMIdGffQEks4DCiws9Hu9EHVTmDlNigI=s88-c-k-c0x00ffffff-no-rj")</f>
        <v>https://yt3.ggpht.com/ytc/AIf8zZSuTQHbTMIdGffQEks4DCiws9Hu9EHVTmDlNigI=s88-c-k-c0x00ffffff-no-rj</v>
      </c>
      <c r="G19" s="15"/>
      <c r="H19" s="16" t="s">
        <v>240</v>
      </c>
      <c r="I19" s="65"/>
      <c r="J19" s="65" t="s">
        <v>159</v>
      </c>
      <c r="K19" s="107" t="s">
        <v>240</v>
      </c>
      <c r="L19" s="86">
        <v>1</v>
      </c>
      <c r="M19" s="87">
        <v>7323.21142578125</v>
      </c>
      <c r="N19" s="87">
        <v>1304.6243896484375</v>
      </c>
      <c r="O19" s="76"/>
      <c r="P19" s="88"/>
      <c r="Q19" s="88"/>
      <c r="R19" s="89"/>
      <c r="S19" s="49">
        <v>1</v>
      </c>
      <c r="T19" s="49">
        <v>0</v>
      </c>
      <c r="U19" s="50">
        <v>0</v>
      </c>
      <c r="V19" s="50">
        <v>0.285714</v>
      </c>
      <c r="W19" s="50">
        <v>0.026877</v>
      </c>
      <c r="X19" s="50">
        <v>0.044141</v>
      </c>
      <c r="Y19" s="50">
        <v>0</v>
      </c>
      <c r="Z19" s="50">
        <v>0</v>
      </c>
      <c r="AA19" s="78">
        <v>19</v>
      </c>
      <c r="AB19" s="78"/>
      <c r="AC19" s="90"/>
      <c r="AD19" s="81" t="s">
        <v>225</v>
      </c>
      <c r="AE19" s="104" t="str">
        <f>HYPERLINK("http://www.youtube.com/channel/UC5YPpUoIFAbQZVVHc38OAdQ")</f>
        <v>http://www.youtube.com/channel/UC5YPpUoIFAbQZVVHc38OAdQ</v>
      </c>
      <c r="AF19" s="81" t="s">
        <v>240</v>
      </c>
      <c r="AG19" s="81"/>
      <c r="AH19" s="81" t="str">
        <f>REPLACE(INDEX(GroupVertices[Group],MATCH("~"&amp;Vertices[[#This Row],[Vertex]],GroupVertices[Vertex],0)),1,1,"")</f>
        <v>2</v>
      </c>
      <c r="AI19" s="2"/>
      <c r="AJ19" s="3"/>
      <c r="AK19" s="3"/>
      <c r="AL19" s="3"/>
      <c r="AM19" s="3"/>
    </row>
    <row r="20" spans="1:39" ht="15">
      <c r="A20" s="14" t="s">
        <v>215</v>
      </c>
      <c r="B20" s="15"/>
      <c r="C20" s="15"/>
      <c r="D20" s="85">
        <v>20</v>
      </c>
      <c r="E20" s="77"/>
      <c r="F20" s="105" t="str">
        <f>HYPERLINK("https://yt3.ggpht.com/f32RswccpUylMMk5ece0uTgYQTPmiPj9iZ7aDRFONKJALLLDjDzFwwi3IzBGeDQW9zX1Hx163p4=s88-c-k-c0x00ffffff-no-rj")</f>
        <v>https://yt3.ggpht.com/f32RswccpUylMMk5ece0uTgYQTPmiPj9iZ7aDRFONKJALLLDjDzFwwi3IzBGeDQW9zX1Hx163p4=s88-c-k-c0x00ffffff-no-rj</v>
      </c>
      <c r="G20" s="15"/>
      <c r="H20" s="16" t="s">
        <v>242</v>
      </c>
      <c r="I20" s="65"/>
      <c r="J20" s="65" t="s">
        <v>159</v>
      </c>
      <c r="K20" s="107" t="s">
        <v>242</v>
      </c>
      <c r="L20" s="86">
        <v>1</v>
      </c>
      <c r="M20" s="87">
        <v>1445.0623779296875</v>
      </c>
      <c r="N20" s="87">
        <v>1829.0853271484375</v>
      </c>
      <c r="O20" s="76"/>
      <c r="P20" s="88"/>
      <c r="Q20" s="88"/>
      <c r="R20" s="89"/>
      <c r="S20" s="49">
        <v>1</v>
      </c>
      <c r="T20" s="49">
        <v>0</v>
      </c>
      <c r="U20" s="50">
        <v>0</v>
      </c>
      <c r="V20" s="50">
        <v>0.377358</v>
      </c>
      <c r="W20" s="50">
        <v>0.03815</v>
      </c>
      <c r="X20" s="50">
        <v>0.042247</v>
      </c>
      <c r="Y20" s="50">
        <v>0</v>
      </c>
      <c r="Z20" s="50">
        <v>0</v>
      </c>
      <c r="AA20" s="78">
        <v>20</v>
      </c>
      <c r="AB20" s="78"/>
      <c r="AC20" s="90"/>
      <c r="AD20" s="81" t="s">
        <v>225</v>
      </c>
      <c r="AE20" s="104" t="str">
        <f>HYPERLINK("http://www.youtube.com/channel/UCnBk2Cx65aKmRScwbk1VMQA")</f>
        <v>http://www.youtube.com/channel/UCnBk2Cx65aKmRScwbk1VMQA</v>
      </c>
      <c r="AF20" s="81" t="s">
        <v>242</v>
      </c>
      <c r="AG20" s="81" t="s">
        <v>259</v>
      </c>
      <c r="AH20" s="81" t="str">
        <f>REPLACE(INDEX(GroupVertices[Group],MATCH("~"&amp;Vertices[[#This Row],[Vertex]],GroupVertices[Vertex],0)),1,1,"")</f>
        <v>2</v>
      </c>
      <c r="AI20" s="2"/>
      <c r="AJ20" s="3"/>
      <c r="AK20" s="3"/>
      <c r="AL20" s="3"/>
      <c r="AM20" s="3"/>
    </row>
    <row r="21" spans="1:39" ht="15">
      <c r="A21" s="14" t="s">
        <v>216</v>
      </c>
      <c r="B21" s="15"/>
      <c r="C21" s="15"/>
      <c r="D21" s="85">
        <v>20</v>
      </c>
      <c r="E21" s="77"/>
      <c r="F21" s="105" t="str">
        <f>HYPERLINK("https://yt3.ggpht.com/mVPZaOgoLte2IyjrqR9s7S6MMDpvyYqsPk8-ktGyJblGoSdWbclfL4qJeHFFulgqsIY10CqD3w=s88-c-k-c0x00ffffff-no-rj")</f>
        <v>https://yt3.ggpht.com/mVPZaOgoLte2IyjrqR9s7S6MMDpvyYqsPk8-ktGyJblGoSdWbclfL4qJeHFFulgqsIY10CqD3w=s88-c-k-c0x00ffffff-no-rj</v>
      </c>
      <c r="G21" s="15"/>
      <c r="H21" s="16" t="s">
        <v>243</v>
      </c>
      <c r="I21" s="65"/>
      <c r="J21" s="65" t="s">
        <v>159</v>
      </c>
      <c r="K21" s="107" t="s">
        <v>243</v>
      </c>
      <c r="L21" s="86">
        <v>1</v>
      </c>
      <c r="M21" s="87">
        <v>1408.309814453125</v>
      </c>
      <c r="N21" s="87">
        <v>160.0449676513672</v>
      </c>
      <c r="O21" s="76"/>
      <c r="P21" s="88"/>
      <c r="Q21" s="88"/>
      <c r="R21" s="89"/>
      <c r="S21" s="49">
        <v>1</v>
      </c>
      <c r="T21" s="49">
        <v>0</v>
      </c>
      <c r="U21" s="50">
        <v>0</v>
      </c>
      <c r="V21" s="50">
        <v>0.377358</v>
      </c>
      <c r="W21" s="50">
        <v>0.03815</v>
      </c>
      <c r="X21" s="50">
        <v>0.042247</v>
      </c>
      <c r="Y21" s="50">
        <v>0</v>
      </c>
      <c r="Z21" s="50">
        <v>0</v>
      </c>
      <c r="AA21" s="78">
        <v>21</v>
      </c>
      <c r="AB21" s="78"/>
      <c r="AC21" s="90"/>
      <c r="AD21" s="81" t="s">
        <v>225</v>
      </c>
      <c r="AE21" s="104" t="str">
        <f>HYPERLINK("http://www.youtube.com/channel/UCkoFVQzbQn3ds1I5XtgEmmw")</f>
        <v>http://www.youtube.com/channel/UCkoFVQzbQn3ds1I5XtgEmmw</v>
      </c>
      <c r="AF21" s="81" t="s">
        <v>243</v>
      </c>
      <c r="AG21" s="81" t="s">
        <v>260</v>
      </c>
      <c r="AH21" s="81" t="str">
        <f>REPLACE(INDEX(GroupVertices[Group],MATCH("~"&amp;Vertices[[#This Row],[Vertex]],GroupVertices[Vertex],0)),1,1,"")</f>
        <v>2</v>
      </c>
      <c r="AI21" s="2"/>
      <c r="AJ21" s="3"/>
      <c r="AK21" s="3"/>
      <c r="AL21" s="3"/>
      <c r="AM21" s="3"/>
    </row>
    <row r="22" spans="1:39" ht="15">
      <c r="A22" s="14" t="s">
        <v>217</v>
      </c>
      <c r="B22" s="15"/>
      <c r="C22" s="15"/>
      <c r="D22" s="85">
        <v>20</v>
      </c>
      <c r="E22" s="77"/>
      <c r="F22" s="105" t="str">
        <f>HYPERLINK("https://yt3.ggpht.com/ytc/AIf8zZQAjRLVIVPIRkkEs77kVeHy5bhjp1yIZk7R8cDDcg=s88-c-k-c0x00ffffff-no-rj")</f>
        <v>https://yt3.ggpht.com/ytc/AIf8zZQAjRLVIVPIRkkEs77kVeHy5bhjp1yIZk7R8cDDcg=s88-c-k-c0x00ffffff-no-rj</v>
      </c>
      <c r="G22" s="15"/>
      <c r="H22" s="16" t="s">
        <v>244</v>
      </c>
      <c r="I22" s="65"/>
      <c r="J22" s="65" t="s">
        <v>159</v>
      </c>
      <c r="K22" s="107" t="s">
        <v>244</v>
      </c>
      <c r="L22" s="86">
        <v>1</v>
      </c>
      <c r="M22" s="87">
        <v>2002.5794677734375</v>
      </c>
      <c r="N22" s="87">
        <v>499.3730163574219</v>
      </c>
      <c r="O22" s="76"/>
      <c r="P22" s="88"/>
      <c r="Q22" s="88"/>
      <c r="R22" s="89"/>
      <c r="S22" s="49">
        <v>1</v>
      </c>
      <c r="T22" s="49">
        <v>0</v>
      </c>
      <c r="U22" s="50">
        <v>0</v>
      </c>
      <c r="V22" s="50">
        <v>0.377358</v>
      </c>
      <c r="W22" s="50">
        <v>0.03815</v>
      </c>
      <c r="X22" s="50">
        <v>0.042247</v>
      </c>
      <c r="Y22" s="50">
        <v>0</v>
      </c>
      <c r="Z22" s="50">
        <v>0</v>
      </c>
      <c r="AA22" s="78">
        <v>22</v>
      </c>
      <c r="AB22" s="78"/>
      <c r="AC22" s="90"/>
      <c r="AD22" s="81" t="s">
        <v>225</v>
      </c>
      <c r="AE22" s="104" t="str">
        <f>HYPERLINK("http://www.youtube.com/channel/UCKhjYwhclvZ7yyhiAq1qpqw")</f>
        <v>http://www.youtube.com/channel/UCKhjYwhclvZ7yyhiAq1qpqw</v>
      </c>
      <c r="AF22" s="81" t="s">
        <v>244</v>
      </c>
      <c r="AG22" s="81" t="s">
        <v>261</v>
      </c>
      <c r="AH22" s="81" t="str">
        <f>REPLACE(INDEX(GroupVertices[Group],MATCH("~"&amp;Vertices[[#This Row],[Vertex]],GroupVertices[Vertex],0)),1,1,"")</f>
        <v>2</v>
      </c>
      <c r="AI22" s="2"/>
      <c r="AJ22" s="3"/>
      <c r="AK22" s="3"/>
      <c r="AL22" s="3"/>
      <c r="AM22" s="3"/>
    </row>
    <row r="23" spans="1:39" ht="15">
      <c r="A23" s="91" t="s">
        <v>218</v>
      </c>
      <c r="B23" s="92"/>
      <c r="C23" s="92"/>
      <c r="D23" s="93">
        <v>20</v>
      </c>
      <c r="E23" s="94"/>
      <c r="F23" s="106" t="str">
        <f>HYPERLINK("https://yt3.ggpht.com/ytc/AIf8zZTZg2HgsFfDPOrYHpTUxzcxkRl5WdjqyD9EI6-T=s88-c-k-c0x00ffffff-no-rj")</f>
        <v>https://yt3.ggpht.com/ytc/AIf8zZTZg2HgsFfDPOrYHpTUxzcxkRl5WdjqyD9EI6-T=s88-c-k-c0x00ffffff-no-rj</v>
      </c>
      <c r="G23" s="92"/>
      <c r="H23" s="95" t="s">
        <v>245</v>
      </c>
      <c r="I23" s="96"/>
      <c r="J23" s="96" t="s">
        <v>159</v>
      </c>
      <c r="K23" s="108" t="s">
        <v>245</v>
      </c>
      <c r="L23" s="97">
        <v>1</v>
      </c>
      <c r="M23" s="98">
        <v>2636.517333984375</v>
      </c>
      <c r="N23" s="98">
        <v>892.6810913085938</v>
      </c>
      <c r="O23" s="99"/>
      <c r="P23" s="100"/>
      <c r="Q23" s="100"/>
      <c r="R23" s="101"/>
      <c r="S23" s="49">
        <v>1</v>
      </c>
      <c r="T23" s="49">
        <v>0</v>
      </c>
      <c r="U23" s="50">
        <v>0</v>
      </c>
      <c r="V23" s="50">
        <v>0.377358</v>
      </c>
      <c r="W23" s="50">
        <v>0.03815</v>
      </c>
      <c r="X23" s="50">
        <v>0.042247</v>
      </c>
      <c r="Y23" s="50">
        <v>0</v>
      </c>
      <c r="Z23" s="50">
        <v>0</v>
      </c>
      <c r="AA23" s="102">
        <v>23</v>
      </c>
      <c r="AB23" s="102"/>
      <c r="AC23" s="103"/>
      <c r="AD23" s="81" t="s">
        <v>225</v>
      </c>
      <c r="AE23" s="104" t="str">
        <f>HYPERLINK("http://www.youtube.com/channel/UCF619Hr920_s4YoDOLk1J3g")</f>
        <v>http://www.youtube.com/channel/UCF619Hr920_s4YoDOLk1J3g</v>
      </c>
      <c r="AF23" s="81" t="s">
        <v>245</v>
      </c>
      <c r="AG23" s="81" t="s">
        <v>262</v>
      </c>
      <c r="AH23" s="81" t="str">
        <f>REPLACE(INDEX(GroupVertices[Group],MATCH("~"&amp;Vertices[[#This Row],[Vertex]],GroupVertices[Vertex],0)),1,1,"")</f>
        <v>2</v>
      </c>
      <c r="AI23" s="2"/>
      <c r="AJ23" s="3"/>
      <c r="AK23" s="3"/>
      <c r="AL23" s="3"/>
      <c r="AM2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3"/>
    <dataValidation allowBlank="1" errorTitle="Invalid Vertex Visibility" error="You have entered an unrecognized vertex visibility.  Try selecting from the drop-down list instead." sqref="AI3"/>
    <dataValidation allowBlank="1" showErrorMessage="1" sqref="AI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3"/>
    <dataValidation allowBlank="1" showInputMessage="1" promptTitle="Vertex Tooltip" prompt="Enter optional text that will pop up when the mouse is hovered over the vertex." errorTitle="Invalid Vertex Image Key" sqref="K3:K2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3"/>
    <dataValidation allowBlank="1" showInputMessage="1" promptTitle="Vertex Label Fill Color" prompt="To select an optional fill color for the Label shape, right-click and select Select Color on the right-click menu." sqref="I3:I23"/>
    <dataValidation allowBlank="1" showInputMessage="1" promptTitle="Vertex Image File" prompt="Enter the path to an image file.  Hover over the column header for examples." errorTitle="Invalid Vertex Image Key" sqref="F3:F23"/>
    <dataValidation allowBlank="1" showInputMessage="1" promptTitle="Vertex Color" prompt="To select an optional vertex color, right-click and select Select Color on the right-click menu." sqref="B3:B23"/>
    <dataValidation allowBlank="1" showInputMessage="1" promptTitle="Vertex Opacity" prompt="Enter an optional vertex opacity between 0 (transparent) and 100 (opaque)." errorTitle="Invalid Vertex Opacity" error="The optional vertex opacity must be a whole number between 0 and 10." sqref="E3:E23"/>
    <dataValidation type="list" allowBlank="1" showInputMessage="1" showErrorMessage="1" promptTitle="Vertex Shape" prompt="Select an optional vertex shape." errorTitle="Invalid Vertex Shape" error="You have entered an invalid vertex shape.  Try selecting from the drop-down list instead." sqref="C3:C2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3">
      <formula1>ValidVertexLabelPositions</formula1>
    </dataValidation>
    <dataValidation allowBlank="1" showInputMessage="1" showErrorMessage="1" promptTitle="Vertex Name" prompt="Enter the name of the vertex." sqref="A3:A2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4"/>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67" t="s">
        <v>39</v>
      </c>
      <c r="C1" s="68"/>
      <c r="D1" s="68"/>
      <c r="E1" s="69"/>
      <c r="F1" s="65" t="s">
        <v>43</v>
      </c>
      <c r="G1" s="70" t="s">
        <v>44</v>
      </c>
      <c r="H1" s="71"/>
      <c r="I1" s="72" t="s">
        <v>40</v>
      </c>
      <c r="J1" s="73"/>
      <c r="K1" s="74" t="s">
        <v>42</v>
      </c>
      <c r="L1" s="75"/>
      <c r="M1" s="75"/>
      <c r="N1" s="75"/>
      <c r="O1" s="75"/>
      <c r="P1" s="75"/>
      <c r="Q1" s="75"/>
      <c r="R1" s="75"/>
      <c r="S1" s="75"/>
      <c r="T1" s="75"/>
      <c r="U1" s="75"/>
      <c r="V1" s="75"/>
      <c r="W1" s="75"/>
      <c r="X1" s="75"/>
    </row>
    <row r="2" spans="1:24"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row>
    <row r="3" spans="1:24" ht="15">
      <c r="A3" s="80" t="s">
        <v>292</v>
      </c>
      <c r="B3" s="114" t="s">
        <v>294</v>
      </c>
      <c r="C3" s="114" t="s">
        <v>56</v>
      </c>
      <c r="D3" s="112"/>
      <c r="E3" s="15"/>
      <c r="F3" s="16"/>
      <c r="G3" s="76"/>
      <c r="H3" s="76"/>
      <c r="I3" s="113">
        <v>3</v>
      </c>
      <c r="J3" s="62"/>
      <c r="K3" s="49">
        <v>14</v>
      </c>
      <c r="L3" s="49">
        <v>13</v>
      </c>
      <c r="M3" s="49">
        <v>0</v>
      </c>
      <c r="N3" s="49">
        <v>13</v>
      </c>
      <c r="O3" s="49">
        <v>0</v>
      </c>
      <c r="P3" s="50">
        <v>0</v>
      </c>
      <c r="Q3" s="50">
        <v>0</v>
      </c>
      <c r="R3" s="49">
        <v>1</v>
      </c>
      <c r="S3" s="49">
        <v>0</v>
      </c>
      <c r="T3" s="49">
        <v>14</v>
      </c>
      <c r="U3" s="49">
        <v>13</v>
      </c>
      <c r="V3" s="49">
        <v>2</v>
      </c>
      <c r="W3" s="50">
        <v>1.72449</v>
      </c>
      <c r="X3" s="50">
        <v>0.07142857142857142</v>
      </c>
    </row>
    <row r="4" spans="1:24" ht="15">
      <c r="A4" s="116" t="s">
        <v>293</v>
      </c>
      <c r="B4" s="114" t="s">
        <v>295</v>
      </c>
      <c r="C4" s="114" t="s">
        <v>56</v>
      </c>
      <c r="D4" s="117"/>
      <c r="E4" s="92"/>
      <c r="F4" s="95"/>
      <c r="G4" s="99"/>
      <c r="H4" s="99"/>
      <c r="I4" s="118">
        <v>4</v>
      </c>
      <c r="J4" s="102"/>
      <c r="K4" s="49">
        <v>7</v>
      </c>
      <c r="L4" s="49">
        <v>6</v>
      </c>
      <c r="M4" s="49">
        <v>0</v>
      </c>
      <c r="N4" s="49">
        <v>6</v>
      </c>
      <c r="O4" s="49">
        <v>0</v>
      </c>
      <c r="P4" s="50">
        <v>0</v>
      </c>
      <c r="Q4" s="50">
        <v>0</v>
      </c>
      <c r="R4" s="49">
        <v>1</v>
      </c>
      <c r="S4" s="49">
        <v>0</v>
      </c>
      <c r="T4" s="49">
        <v>7</v>
      </c>
      <c r="U4" s="49">
        <v>6</v>
      </c>
      <c r="V4" s="49">
        <v>3</v>
      </c>
      <c r="W4" s="50">
        <v>1.632653</v>
      </c>
      <c r="X4" s="50">
        <v>0.14285714285714285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2"/>
  <sheetViews>
    <sheetView workbookViewId="0" topLeftCell="A1">
      <selection activeCell="H25" sqref="H25"/>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292</v>
      </c>
      <c r="B2" s="115" t="s">
        <v>199</v>
      </c>
      <c r="C2" s="81">
        <f>VLOOKUP("~"&amp;GroupVertices[[#This Row],[Vertex]],Vertices[],MATCH("ID",Vertices[[#Headers],[Vertex]:[Vertex Group]],0),FALSE)</f>
        <v>3</v>
      </c>
    </row>
    <row r="3" spans="1:3" ht="15">
      <c r="A3" s="82" t="s">
        <v>292</v>
      </c>
      <c r="B3" s="115" t="s">
        <v>213</v>
      </c>
      <c r="C3" s="81">
        <f>VLOOKUP("~"&amp;GroupVertices[[#This Row],[Vertex]],Vertices[],MATCH("ID",Vertices[[#Headers],[Vertex]:[Vertex Group]],0),FALSE)</f>
        <v>18</v>
      </c>
    </row>
    <row r="4" spans="1:3" ht="15">
      <c r="A4" s="82" t="s">
        <v>292</v>
      </c>
      <c r="B4" s="115" t="s">
        <v>212</v>
      </c>
      <c r="C4" s="81">
        <f>VLOOKUP("~"&amp;GroupVertices[[#This Row],[Vertex]],Vertices[],MATCH("ID",Vertices[[#Headers],[Vertex]:[Vertex Group]],0),FALSE)</f>
        <v>17</v>
      </c>
    </row>
    <row r="5" spans="1:3" ht="15">
      <c r="A5" s="82" t="s">
        <v>292</v>
      </c>
      <c r="B5" s="115" t="s">
        <v>211</v>
      </c>
      <c r="C5" s="81">
        <f>VLOOKUP("~"&amp;GroupVertices[[#This Row],[Vertex]],Vertices[],MATCH("ID",Vertices[[#Headers],[Vertex]:[Vertex Group]],0),FALSE)</f>
        <v>16</v>
      </c>
    </row>
    <row r="6" spans="1:3" ht="15">
      <c r="A6" s="82" t="s">
        <v>292</v>
      </c>
      <c r="B6" s="115" t="s">
        <v>210</v>
      </c>
      <c r="C6" s="81">
        <f>VLOOKUP("~"&amp;GroupVertices[[#This Row],[Vertex]],Vertices[],MATCH("ID",Vertices[[#Headers],[Vertex]:[Vertex Group]],0),FALSE)</f>
        <v>15</v>
      </c>
    </row>
    <row r="7" spans="1:3" ht="15">
      <c r="A7" s="82" t="s">
        <v>292</v>
      </c>
      <c r="B7" s="115" t="s">
        <v>209</v>
      </c>
      <c r="C7" s="81">
        <f>VLOOKUP("~"&amp;GroupVertices[[#This Row],[Vertex]],Vertices[],MATCH("ID",Vertices[[#Headers],[Vertex]:[Vertex Group]],0),FALSE)</f>
        <v>14</v>
      </c>
    </row>
    <row r="8" spans="1:3" ht="15">
      <c r="A8" s="82" t="s">
        <v>292</v>
      </c>
      <c r="B8" s="115" t="s">
        <v>208</v>
      </c>
      <c r="C8" s="81">
        <f>VLOOKUP("~"&amp;GroupVertices[[#This Row],[Vertex]],Vertices[],MATCH("ID",Vertices[[#Headers],[Vertex]:[Vertex Group]],0),FALSE)</f>
        <v>13</v>
      </c>
    </row>
    <row r="9" spans="1:3" ht="15">
      <c r="A9" s="82" t="s">
        <v>292</v>
      </c>
      <c r="B9" s="115" t="s">
        <v>207</v>
      </c>
      <c r="C9" s="81">
        <f>VLOOKUP("~"&amp;GroupVertices[[#This Row],[Vertex]],Vertices[],MATCH("ID",Vertices[[#Headers],[Vertex]:[Vertex Group]],0),FALSE)</f>
        <v>12</v>
      </c>
    </row>
    <row r="10" spans="1:3" ht="15">
      <c r="A10" s="82" t="s">
        <v>292</v>
      </c>
      <c r="B10" s="115" t="s">
        <v>206</v>
      </c>
      <c r="C10" s="81">
        <f>VLOOKUP("~"&amp;GroupVertices[[#This Row],[Vertex]],Vertices[],MATCH("ID",Vertices[[#Headers],[Vertex]:[Vertex Group]],0),FALSE)</f>
        <v>11</v>
      </c>
    </row>
    <row r="11" spans="1:3" ht="15">
      <c r="A11" s="82" t="s">
        <v>292</v>
      </c>
      <c r="B11" s="115" t="s">
        <v>205</v>
      </c>
      <c r="C11" s="81">
        <f>VLOOKUP("~"&amp;GroupVertices[[#This Row],[Vertex]],Vertices[],MATCH("ID",Vertices[[#Headers],[Vertex]:[Vertex Group]],0),FALSE)</f>
        <v>10</v>
      </c>
    </row>
    <row r="12" spans="1:3" ht="15">
      <c r="A12" s="82" t="s">
        <v>292</v>
      </c>
      <c r="B12" s="115" t="s">
        <v>204</v>
      </c>
      <c r="C12" s="81">
        <f>VLOOKUP("~"&amp;GroupVertices[[#This Row],[Vertex]],Vertices[],MATCH("ID",Vertices[[#Headers],[Vertex]:[Vertex Group]],0),FALSE)</f>
        <v>9</v>
      </c>
    </row>
    <row r="13" spans="1:3" ht="15">
      <c r="A13" s="82" t="s">
        <v>292</v>
      </c>
      <c r="B13" s="115" t="s">
        <v>203</v>
      </c>
      <c r="C13" s="81">
        <f>VLOOKUP("~"&amp;GroupVertices[[#This Row],[Vertex]],Vertices[],MATCH("ID",Vertices[[#Headers],[Vertex]:[Vertex Group]],0),FALSE)</f>
        <v>8</v>
      </c>
    </row>
    <row r="14" spans="1:3" ht="15">
      <c r="A14" s="82" t="s">
        <v>292</v>
      </c>
      <c r="B14" s="115" t="s">
        <v>202</v>
      </c>
      <c r="C14" s="81">
        <f>VLOOKUP("~"&amp;GroupVertices[[#This Row],[Vertex]],Vertices[],MATCH("ID",Vertices[[#Headers],[Vertex]:[Vertex Group]],0),FALSE)</f>
        <v>7</v>
      </c>
    </row>
    <row r="15" spans="1:3" ht="15">
      <c r="A15" s="82" t="s">
        <v>292</v>
      </c>
      <c r="B15" s="115" t="s">
        <v>219</v>
      </c>
      <c r="C15" s="81">
        <f>VLOOKUP("~"&amp;GroupVertices[[#This Row],[Vertex]],Vertices[],MATCH("ID",Vertices[[#Headers],[Vertex]:[Vertex Group]],0),FALSE)</f>
        <v>6</v>
      </c>
    </row>
    <row r="16" spans="1:3" ht="15">
      <c r="A16" s="82" t="s">
        <v>293</v>
      </c>
      <c r="B16" s="115" t="s">
        <v>201</v>
      </c>
      <c r="C16" s="81">
        <f>VLOOKUP("~"&amp;GroupVertices[[#This Row],[Vertex]],Vertices[],MATCH("ID",Vertices[[#Headers],[Vertex]:[Vertex Group]],0),FALSE)</f>
        <v>4</v>
      </c>
    </row>
    <row r="17" spans="1:3" ht="15">
      <c r="A17" s="82" t="s">
        <v>293</v>
      </c>
      <c r="B17" s="115" t="s">
        <v>218</v>
      </c>
      <c r="C17" s="81">
        <f>VLOOKUP("~"&amp;GroupVertices[[#This Row],[Vertex]],Vertices[],MATCH("ID",Vertices[[#Headers],[Vertex]:[Vertex Group]],0),FALSE)</f>
        <v>23</v>
      </c>
    </row>
    <row r="18" spans="1:3" ht="15">
      <c r="A18" s="82" t="s">
        <v>293</v>
      </c>
      <c r="B18" s="115" t="s">
        <v>217</v>
      </c>
      <c r="C18" s="81">
        <f>VLOOKUP("~"&amp;GroupVertices[[#This Row],[Vertex]],Vertices[],MATCH("ID",Vertices[[#Headers],[Vertex]:[Vertex Group]],0),FALSE)</f>
        <v>22</v>
      </c>
    </row>
    <row r="19" spans="1:3" ht="15">
      <c r="A19" s="82" t="s">
        <v>293</v>
      </c>
      <c r="B19" s="115" t="s">
        <v>216</v>
      </c>
      <c r="C19" s="81">
        <f>VLOOKUP("~"&amp;GroupVertices[[#This Row],[Vertex]],Vertices[],MATCH("ID",Vertices[[#Headers],[Vertex]:[Vertex Group]],0),FALSE)</f>
        <v>21</v>
      </c>
    </row>
    <row r="20" spans="1:3" ht="15">
      <c r="A20" s="82" t="s">
        <v>293</v>
      </c>
      <c r="B20" s="115" t="s">
        <v>215</v>
      </c>
      <c r="C20" s="81">
        <f>VLOOKUP("~"&amp;GroupVertices[[#This Row],[Vertex]],Vertices[],MATCH("ID",Vertices[[#Headers],[Vertex]:[Vertex Group]],0),FALSE)</f>
        <v>20</v>
      </c>
    </row>
    <row r="21" spans="1:3" ht="15">
      <c r="A21" s="82" t="s">
        <v>293</v>
      </c>
      <c r="B21" s="115" t="s">
        <v>200</v>
      </c>
      <c r="C21" s="81">
        <f>VLOOKUP("~"&amp;GroupVertices[[#This Row],[Vertex]],Vertices[],MATCH("ID",Vertices[[#Headers],[Vertex]:[Vertex Group]],0),FALSE)</f>
        <v>5</v>
      </c>
    </row>
    <row r="22" spans="1:3" ht="15">
      <c r="A22" s="82" t="s">
        <v>293</v>
      </c>
      <c r="B22" s="115" t="s">
        <v>214</v>
      </c>
      <c r="C22" s="81">
        <f>VLOOKUP("~"&amp;GroupVertices[[#This Row],[Vertex]],Vertices[],MATCH("ID",Vertices[[#Headers],[Vertex]:[Vertex Group]],0),FALSE)</f>
        <v>19</v>
      </c>
    </row>
  </sheetData>
  <dataValidations count="3" xWindow="58" yWindow="226">
    <dataValidation allowBlank="1" showInputMessage="1" showErrorMessage="1" promptTitle="Group Name" prompt="Enter the name of the group.  The group name must also be entered on the Groups worksheet." sqref="A2:A22"/>
    <dataValidation allowBlank="1" showInputMessage="1" showErrorMessage="1" promptTitle="Vertex Name" prompt="Enter the name of a vertex to include in the group." sqref="B2:B22"/>
    <dataValidation allowBlank="1" showInputMessage="1" promptTitle="Vertex ID" prompt="This is the value of the hidden ID cell in the Vertices worksheet.  It gets filled in by the items on the NodeXL, Analysis, Groups menu." sqref="C2:C2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tabSelected="1" workbookViewId="0" topLeftCell="A85">
      <selection activeCell="Z12" sqref="Z12"/>
    </sheetView>
  </sheetViews>
  <sheetFormatPr defaultColWidth="9.140625" defaultRowHeight="15"/>
  <cols>
    <col min="1" max="1" width="43.140625" style="0" customWidth="1"/>
    <col min="2" max="2" width="53.8515625" style="81"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81"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266</v>
      </c>
      <c r="B2" s="36" t="s">
        <v>192</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18</v>
      </c>
      <c r="J2" s="39">
        <f>MIN(Vertices[Betweenness Centrality])</f>
        <v>0</v>
      </c>
      <c r="K2" s="40">
        <f>COUNTIF(Vertices[Betweenness Centrality],"&gt;= "&amp;J2)-COUNTIF(Vertices[Betweenness Centrality],"&gt;="&amp;J3)</f>
        <v>18</v>
      </c>
      <c r="L2" s="39">
        <f>MIN(Vertices[Closeness Centrality])</f>
        <v>0.285714</v>
      </c>
      <c r="M2" s="40">
        <f>COUNTIF(Vertices[Closeness Centrality],"&gt;= "&amp;L2)-COUNTIF(Vertices[Closeness Centrality],"&gt;="&amp;L3)</f>
        <v>1</v>
      </c>
      <c r="N2" s="39">
        <f>MIN(Vertices[Eigenvector Centrality])</f>
        <v>0.026877</v>
      </c>
      <c r="O2" s="40">
        <f>COUNTIF(Vertices[Eigenvector Centrality],"&gt;= "&amp;N2)-COUNTIF(Vertices[Eigenvector Centrality],"&gt;="&amp;N3)</f>
        <v>1</v>
      </c>
      <c r="P2" s="39">
        <f>MIN(Vertices[PageRank])</f>
        <v>0.041802</v>
      </c>
      <c r="Q2" s="40">
        <f>COUNTIF(Vertices[PageRank],"&gt;= "&amp;P2)-COUNTIF(Vertices[PageRank],"&gt;="&amp;P3)</f>
        <v>18</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9"/>
      <c r="B3" s="109"/>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9.941176470588236</v>
      </c>
      <c r="K3" s="42">
        <f>COUNTIF(Vertices[Betweenness Centrality],"&gt;= "&amp;J3)-COUNTIF(Vertices[Betweenness Centrality],"&gt;="&amp;J4)</f>
        <v>0</v>
      </c>
      <c r="L3" s="41">
        <f aca="true" t="shared" si="5" ref="L3:L35">L2+($L$36-$L$2)/BinDivisor</f>
        <v>0.29909714705882356</v>
      </c>
      <c r="M3" s="42">
        <f>COUNTIF(Vertices[Closeness Centrality],"&gt;= "&amp;L3)-COUNTIF(Vertices[Closeness Centrality],"&gt;="&amp;L4)</f>
        <v>0</v>
      </c>
      <c r="N3" s="41">
        <f aca="true" t="shared" si="6" ref="N3:N35">N2+($N$36-$N$2)/BinDivisor</f>
        <v>0.03678682352941177</v>
      </c>
      <c r="O3" s="42">
        <f>COUNTIF(Vertices[Eigenvector Centrality],"&gt;= "&amp;N3)-COUNTIF(Vertices[Eigenvector Centrality],"&gt;="&amp;N4)</f>
        <v>5</v>
      </c>
      <c r="P3" s="41">
        <f aca="true" t="shared" si="7" ref="P3:P35">P2+($P$36-$P$2)/BinDivisor</f>
        <v>0.044212676470588234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21</v>
      </c>
      <c r="D4" s="34">
        <f t="shared" si="1"/>
        <v>0</v>
      </c>
      <c r="E4" s="3">
        <f>COUNTIF(Vertices[Degree],"&gt;= "&amp;D4)-COUNTIF(Vertices[Degree],"&gt;="&amp;D5)</f>
        <v>0</v>
      </c>
      <c r="F4" s="39">
        <f t="shared" si="2"/>
        <v>0.058823529411764705</v>
      </c>
      <c r="G4" s="40">
        <f>COUNTIF(Vertices[In-Degree],"&gt;= "&amp;F4)-COUNTIF(Vertices[In-Degree],"&gt;="&amp;F5)</f>
        <v>0</v>
      </c>
      <c r="H4" s="39">
        <f t="shared" si="3"/>
        <v>0.7647058823529411</v>
      </c>
      <c r="I4" s="40">
        <f>COUNTIF(Vertices[Out-Degree],"&gt;= "&amp;H4)-COUNTIF(Vertices[Out-Degree],"&gt;="&amp;H5)</f>
        <v>1</v>
      </c>
      <c r="J4" s="39">
        <f t="shared" si="4"/>
        <v>19.88235294117647</v>
      </c>
      <c r="K4" s="40">
        <f>COUNTIF(Vertices[Betweenness Centrality],"&gt;= "&amp;J4)-COUNTIF(Vertices[Betweenness Centrality],"&gt;="&amp;J5)</f>
        <v>0</v>
      </c>
      <c r="L4" s="39">
        <f t="shared" si="5"/>
        <v>0.3124802941176471</v>
      </c>
      <c r="M4" s="40">
        <f>COUNTIF(Vertices[Closeness Centrality],"&gt;= "&amp;L4)-COUNTIF(Vertices[Closeness Centrality],"&gt;="&amp;L5)</f>
        <v>0</v>
      </c>
      <c r="N4" s="39">
        <f t="shared" si="6"/>
        <v>0.04669664705882353</v>
      </c>
      <c r="O4" s="40">
        <f>COUNTIF(Vertices[Eigenvector Centrality],"&gt;= "&amp;N4)-COUNTIF(Vertices[Eigenvector Centrality],"&gt;="&amp;N5)</f>
        <v>0</v>
      </c>
      <c r="P4" s="39">
        <f t="shared" si="7"/>
        <v>0.04662335294117647</v>
      </c>
      <c r="Q4" s="40">
        <f>COUNTIF(Vertices[PageRank],"&gt;= "&amp;P4)-COUNTIF(Vertices[PageRank],"&gt;="&amp;P5)</f>
        <v>1</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09"/>
      <c r="B5" s="109"/>
      <c r="D5" s="34">
        <f t="shared" si="1"/>
        <v>0</v>
      </c>
      <c r="E5" s="3">
        <f>COUNTIF(Vertices[Degree],"&gt;= "&amp;D5)-COUNTIF(Vertices[Degree],"&gt;="&amp;D6)</f>
        <v>0</v>
      </c>
      <c r="F5" s="41">
        <f t="shared" si="2"/>
        <v>0.08823529411764705</v>
      </c>
      <c r="G5" s="42">
        <f>COUNTIF(Vertices[In-Degree],"&gt;= "&amp;F5)-COUNTIF(Vertices[In-Degree],"&gt;="&amp;F6)</f>
        <v>0</v>
      </c>
      <c r="H5" s="41">
        <f t="shared" si="3"/>
        <v>1.1470588235294117</v>
      </c>
      <c r="I5" s="42">
        <f>COUNTIF(Vertices[Out-Degree],"&gt;= "&amp;H5)-COUNTIF(Vertices[Out-Degree],"&gt;="&amp;H6)</f>
        <v>0</v>
      </c>
      <c r="J5" s="41">
        <f t="shared" si="4"/>
        <v>29.823529411764707</v>
      </c>
      <c r="K5" s="42">
        <f>COUNTIF(Vertices[Betweenness Centrality],"&gt;= "&amp;J5)-COUNTIF(Vertices[Betweenness Centrality],"&gt;="&amp;J6)</f>
        <v>1</v>
      </c>
      <c r="L5" s="41">
        <f t="shared" si="5"/>
        <v>0.32586344117647065</v>
      </c>
      <c r="M5" s="42">
        <f>COUNTIF(Vertices[Closeness Centrality],"&gt;= "&amp;L5)-COUNTIF(Vertices[Closeness Centrality],"&gt;="&amp;L6)</f>
        <v>0</v>
      </c>
      <c r="N5" s="41">
        <f t="shared" si="6"/>
        <v>0.05660647058823529</v>
      </c>
      <c r="O5" s="42">
        <f>COUNTIF(Vertices[Eigenvector Centrality],"&gt;= "&amp;N5)-COUNTIF(Vertices[Eigenvector Centrality],"&gt;="&amp;N6)</f>
        <v>0</v>
      </c>
      <c r="P5" s="41">
        <f t="shared" si="7"/>
        <v>0.049034029411764705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0.11764705882352941</v>
      </c>
      <c r="G6" s="40">
        <f>COUNTIF(Vertices[In-Degree],"&gt;= "&amp;F6)-COUNTIF(Vertices[In-Degree],"&gt;="&amp;F7)</f>
        <v>0</v>
      </c>
      <c r="H6" s="39">
        <f t="shared" si="3"/>
        <v>1.5294117647058822</v>
      </c>
      <c r="I6" s="40">
        <f>COUNTIF(Vertices[Out-Degree],"&gt;= "&amp;H6)-COUNTIF(Vertices[Out-Degree],"&gt;="&amp;H7)</f>
        <v>0</v>
      </c>
      <c r="J6" s="39">
        <f t="shared" si="4"/>
        <v>39.76470588235294</v>
      </c>
      <c r="K6" s="40">
        <f>COUNTIF(Vertices[Betweenness Centrality],"&gt;= "&amp;J6)-COUNTIF(Vertices[Betweenness Centrality],"&gt;="&amp;J7)</f>
        <v>0</v>
      </c>
      <c r="L6" s="39">
        <f t="shared" si="5"/>
        <v>0.3392465882352942</v>
      </c>
      <c r="M6" s="40">
        <f>COUNTIF(Vertices[Closeness Centrality],"&gt;= "&amp;L6)-COUNTIF(Vertices[Closeness Centrality],"&gt;="&amp;L7)</f>
        <v>0</v>
      </c>
      <c r="N6" s="39">
        <f t="shared" si="6"/>
        <v>0.06651629411764706</v>
      </c>
      <c r="O6" s="40">
        <f>COUNTIF(Vertices[Eigenvector Centrality],"&gt;= "&amp;N6)-COUNTIF(Vertices[Eigenvector Centrality],"&gt;="&amp;N7)</f>
        <v>0</v>
      </c>
      <c r="P6" s="39">
        <f t="shared" si="7"/>
        <v>0.05144470588235294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1.9117647058823528</v>
      </c>
      <c r="I7" s="42">
        <f>COUNTIF(Vertices[Out-Degree],"&gt;= "&amp;H7)-COUNTIF(Vertices[Out-Degree],"&gt;="&amp;H8)</f>
        <v>0</v>
      </c>
      <c r="J7" s="41">
        <f t="shared" si="4"/>
        <v>49.705882352941174</v>
      </c>
      <c r="K7" s="42">
        <f>COUNTIF(Vertices[Betweenness Centrality],"&gt;= "&amp;J7)-COUNTIF(Vertices[Betweenness Centrality],"&gt;="&amp;J8)</f>
        <v>0</v>
      </c>
      <c r="L7" s="41">
        <f t="shared" si="5"/>
        <v>0.35262973529411773</v>
      </c>
      <c r="M7" s="42">
        <f>COUNTIF(Vertices[Closeness Centrality],"&gt;= "&amp;L7)-COUNTIF(Vertices[Closeness Centrality],"&gt;="&amp;L8)</f>
        <v>0</v>
      </c>
      <c r="N7" s="41">
        <f t="shared" si="6"/>
        <v>0.07642611764705882</v>
      </c>
      <c r="O7" s="42">
        <f>COUNTIF(Vertices[Eigenvector Centrality],"&gt;= "&amp;N7)-COUNTIF(Vertices[Eigenvector Centrality],"&gt;="&amp;N8)</f>
        <v>0</v>
      </c>
      <c r="P7" s="41">
        <f t="shared" si="7"/>
        <v>0.05385538235294118</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20</v>
      </c>
      <c r="D8" s="34">
        <f t="shared" si="1"/>
        <v>0</v>
      </c>
      <c r="E8" s="3">
        <f>COUNTIF(Vertices[Degree],"&gt;= "&amp;D8)-COUNTIF(Vertices[Degree],"&gt;="&amp;D9)</f>
        <v>0</v>
      </c>
      <c r="F8" s="39">
        <f t="shared" si="2"/>
        <v>0.17647058823529413</v>
      </c>
      <c r="G8" s="40">
        <f>COUNTIF(Vertices[In-Degree],"&gt;= "&amp;F8)-COUNTIF(Vertices[In-Degree],"&gt;="&amp;F9)</f>
        <v>0</v>
      </c>
      <c r="H8" s="39">
        <f t="shared" si="3"/>
        <v>2.2941176470588234</v>
      </c>
      <c r="I8" s="40">
        <f>COUNTIF(Vertices[Out-Degree],"&gt;= "&amp;H8)-COUNTIF(Vertices[Out-Degree],"&gt;="&amp;H9)</f>
        <v>0</v>
      </c>
      <c r="J8" s="39">
        <f t="shared" si="4"/>
        <v>59.647058823529406</v>
      </c>
      <c r="K8" s="40">
        <f>COUNTIF(Vertices[Betweenness Centrality],"&gt;= "&amp;J8)-COUNTIF(Vertices[Betweenness Centrality],"&gt;="&amp;J9)</f>
        <v>0</v>
      </c>
      <c r="L8" s="39">
        <f t="shared" si="5"/>
        <v>0.36601288235294127</v>
      </c>
      <c r="M8" s="40">
        <f>COUNTIF(Vertices[Closeness Centrality],"&gt;= "&amp;L8)-COUNTIF(Vertices[Closeness Centrality],"&gt;="&amp;L9)</f>
        <v>4</v>
      </c>
      <c r="N8" s="39">
        <f t="shared" si="6"/>
        <v>0.08633594117647059</v>
      </c>
      <c r="O8" s="40">
        <f>COUNTIF(Vertices[Eigenvector Centrality],"&gt;= "&amp;N8)-COUNTIF(Vertices[Eigenvector Centrality],"&gt;="&amp;N9)</f>
        <v>0</v>
      </c>
      <c r="P8" s="39">
        <f t="shared" si="7"/>
        <v>0.05626605882352941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09"/>
      <c r="B9" s="109"/>
      <c r="D9" s="34">
        <f t="shared" si="1"/>
        <v>0</v>
      </c>
      <c r="E9" s="3">
        <f>COUNTIF(Vertices[Degree],"&gt;= "&amp;D9)-COUNTIF(Vertices[Degree],"&gt;="&amp;D10)</f>
        <v>0</v>
      </c>
      <c r="F9" s="41">
        <f t="shared" si="2"/>
        <v>0.2058823529411765</v>
      </c>
      <c r="G9" s="42">
        <f>COUNTIF(Vertices[In-Degree],"&gt;= "&amp;F9)-COUNTIF(Vertices[In-Degree],"&gt;="&amp;F10)</f>
        <v>0</v>
      </c>
      <c r="H9" s="41">
        <f t="shared" si="3"/>
        <v>2.676470588235294</v>
      </c>
      <c r="I9" s="42">
        <f>COUNTIF(Vertices[Out-Degree],"&gt;= "&amp;H9)-COUNTIF(Vertices[Out-Degree],"&gt;="&amp;H10)</f>
        <v>0</v>
      </c>
      <c r="J9" s="41">
        <f t="shared" si="4"/>
        <v>69.58823529411764</v>
      </c>
      <c r="K9" s="42">
        <f>COUNTIF(Vertices[Betweenness Centrality],"&gt;= "&amp;J9)-COUNTIF(Vertices[Betweenness Centrality],"&gt;="&amp;J10)</f>
        <v>0</v>
      </c>
      <c r="L9" s="41">
        <f t="shared" si="5"/>
        <v>0.3793960294117648</v>
      </c>
      <c r="M9" s="42">
        <f>COUNTIF(Vertices[Closeness Centrality],"&gt;= "&amp;L9)-COUNTIF(Vertices[Closeness Centrality],"&gt;="&amp;L10)</f>
        <v>1</v>
      </c>
      <c r="N9" s="41">
        <f t="shared" si="6"/>
        <v>0.09624576470588235</v>
      </c>
      <c r="O9" s="42">
        <f>COUNTIF(Vertices[Eigenvector Centrality],"&gt;= "&amp;N9)-COUNTIF(Vertices[Eigenvector Centrality],"&gt;="&amp;N10)</f>
        <v>0</v>
      </c>
      <c r="P9" s="41">
        <f t="shared" si="7"/>
        <v>0.05867673529411765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151</v>
      </c>
      <c r="B10" s="36">
        <v>0</v>
      </c>
      <c r="D10" s="34">
        <f t="shared" si="1"/>
        <v>0</v>
      </c>
      <c r="E10" s="3">
        <f>COUNTIF(Vertices[Degree],"&gt;= "&amp;D10)-COUNTIF(Vertices[Degree],"&gt;="&amp;D11)</f>
        <v>0</v>
      </c>
      <c r="F10" s="39">
        <f t="shared" si="2"/>
        <v>0.23529411764705885</v>
      </c>
      <c r="G10" s="40">
        <f>COUNTIF(Vertices[In-Degree],"&gt;= "&amp;F10)-COUNTIF(Vertices[In-Degree],"&gt;="&amp;F11)</f>
        <v>0</v>
      </c>
      <c r="H10" s="39">
        <f t="shared" si="3"/>
        <v>3.0588235294117645</v>
      </c>
      <c r="I10" s="40">
        <f>COUNTIF(Vertices[Out-Degree],"&gt;= "&amp;H10)-COUNTIF(Vertices[Out-Degree],"&gt;="&amp;H11)</f>
        <v>0</v>
      </c>
      <c r="J10" s="39">
        <f t="shared" si="4"/>
        <v>79.52941176470587</v>
      </c>
      <c r="K10" s="40">
        <f>COUNTIF(Vertices[Betweenness Centrality],"&gt;= "&amp;J10)-COUNTIF(Vertices[Betweenness Centrality],"&gt;="&amp;J11)</f>
        <v>0</v>
      </c>
      <c r="L10" s="39">
        <f t="shared" si="5"/>
        <v>0.39277917647058835</v>
      </c>
      <c r="M10" s="40">
        <f>COUNTIF(Vertices[Closeness Centrality],"&gt;= "&amp;L10)-COUNTIF(Vertices[Closeness Centrality],"&gt;="&amp;L11)</f>
        <v>0</v>
      </c>
      <c r="N10" s="39">
        <f t="shared" si="6"/>
        <v>0.10615558823529411</v>
      </c>
      <c r="O10" s="40">
        <f>COUNTIF(Vertices[Eigenvector Centrality],"&gt;= "&amp;N10)-COUNTIF(Vertices[Eigenvector Centrality],"&gt;="&amp;N11)</f>
        <v>0</v>
      </c>
      <c r="P10" s="39">
        <f t="shared" si="7"/>
        <v>0.06108741176470588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09"/>
      <c r="B11" s="109"/>
      <c r="D11" s="34">
        <f t="shared" si="1"/>
        <v>0</v>
      </c>
      <c r="E11" s="3">
        <f>COUNTIF(Vertices[Degree],"&gt;= "&amp;D11)-COUNTIF(Vertices[Degree],"&gt;="&amp;D12)</f>
        <v>0</v>
      </c>
      <c r="F11" s="41">
        <f t="shared" si="2"/>
        <v>0.2647058823529412</v>
      </c>
      <c r="G11" s="42">
        <f>COUNTIF(Vertices[In-Degree],"&gt;= "&amp;F11)-COUNTIF(Vertices[In-Degree],"&gt;="&amp;F12)</f>
        <v>0</v>
      </c>
      <c r="H11" s="41">
        <f t="shared" si="3"/>
        <v>3.441176470588235</v>
      </c>
      <c r="I11" s="42">
        <f>COUNTIF(Vertices[Out-Degree],"&gt;= "&amp;H11)-COUNTIF(Vertices[Out-Degree],"&gt;="&amp;H12)</f>
        <v>0</v>
      </c>
      <c r="J11" s="41">
        <f t="shared" si="4"/>
        <v>89.4705882352941</v>
      </c>
      <c r="K11" s="42">
        <f>COUNTIF(Vertices[Betweenness Centrality],"&gt;= "&amp;J11)-COUNTIF(Vertices[Betweenness Centrality],"&gt;="&amp;J12)</f>
        <v>0</v>
      </c>
      <c r="L11" s="41">
        <f t="shared" si="5"/>
        <v>0.4061623235294119</v>
      </c>
      <c r="M11" s="42">
        <f>COUNTIF(Vertices[Closeness Centrality],"&gt;= "&amp;L11)-COUNTIF(Vertices[Closeness Centrality],"&gt;="&amp;L12)</f>
        <v>0</v>
      </c>
      <c r="N11" s="41">
        <f t="shared" si="6"/>
        <v>0.11606541176470588</v>
      </c>
      <c r="O11" s="42">
        <f>COUNTIF(Vertices[Eigenvector Centrality],"&gt;= "&amp;N11)-COUNTIF(Vertices[Eigenvector Centrality],"&gt;="&amp;N12)</f>
        <v>0</v>
      </c>
      <c r="P11" s="41">
        <f t="shared" si="7"/>
        <v>0.06349808823529413</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0.29411764705882354</v>
      </c>
      <c r="G12" s="40">
        <f>COUNTIF(Vertices[In-Degree],"&gt;= "&amp;F12)-COUNTIF(Vertices[In-Degree],"&gt;="&amp;F13)</f>
        <v>0</v>
      </c>
      <c r="H12" s="39">
        <f t="shared" si="3"/>
        <v>3.8235294117647056</v>
      </c>
      <c r="I12" s="40">
        <f>COUNTIF(Vertices[Out-Degree],"&gt;= "&amp;H12)-COUNTIF(Vertices[Out-Degree],"&gt;="&amp;H13)</f>
        <v>0</v>
      </c>
      <c r="J12" s="39">
        <f t="shared" si="4"/>
        <v>99.41176470588233</v>
      </c>
      <c r="K12" s="40">
        <f>COUNTIF(Vertices[Betweenness Centrality],"&gt;= "&amp;J12)-COUNTIF(Vertices[Betweenness Centrality],"&gt;="&amp;J13)</f>
        <v>0</v>
      </c>
      <c r="L12" s="39">
        <f t="shared" si="5"/>
        <v>0.41954547058823544</v>
      </c>
      <c r="M12" s="40">
        <f>COUNTIF(Vertices[Closeness Centrality],"&gt;= "&amp;L12)-COUNTIF(Vertices[Closeness Centrality],"&gt;="&amp;L13)</f>
        <v>0</v>
      </c>
      <c r="N12" s="39">
        <f t="shared" si="6"/>
        <v>0.12597523529411764</v>
      </c>
      <c r="O12" s="40">
        <f>COUNTIF(Vertices[Eigenvector Centrality],"&gt;= "&amp;N12)-COUNTIF(Vertices[Eigenvector Centrality],"&gt;="&amp;N13)</f>
        <v>0</v>
      </c>
      <c r="P12" s="39">
        <f t="shared" si="7"/>
        <v>0.06590876470588236</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0.3235294117647059</v>
      </c>
      <c r="G13" s="42">
        <f>COUNTIF(Vertices[In-Degree],"&gt;= "&amp;F13)-COUNTIF(Vertices[In-Degree],"&gt;="&amp;F14)</f>
        <v>0</v>
      </c>
      <c r="H13" s="41">
        <f t="shared" si="3"/>
        <v>4.205882352941176</v>
      </c>
      <c r="I13" s="42">
        <f>COUNTIF(Vertices[Out-Degree],"&gt;= "&amp;H13)-COUNTIF(Vertices[Out-Degree],"&gt;="&amp;H14)</f>
        <v>0</v>
      </c>
      <c r="J13" s="41">
        <f t="shared" si="4"/>
        <v>109.35294117647057</v>
      </c>
      <c r="K13" s="42">
        <f>COUNTIF(Vertices[Betweenness Centrality],"&gt;= "&amp;J13)-COUNTIF(Vertices[Betweenness Centrality],"&gt;="&amp;J14)</f>
        <v>0</v>
      </c>
      <c r="L13" s="41">
        <f t="shared" si="5"/>
        <v>0.432928617647059</v>
      </c>
      <c r="M13" s="42">
        <f>COUNTIF(Vertices[Closeness Centrality],"&gt;= "&amp;L13)-COUNTIF(Vertices[Closeness Centrality],"&gt;="&amp;L14)</f>
        <v>13</v>
      </c>
      <c r="N13" s="41">
        <f t="shared" si="6"/>
        <v>0.13588505882352941</v>
      </c>
      <c r="O13" s="42">
        <f>COUNTIF(Vertices[Eigenvector Centrality],"&gt;= "&amp;N13)-COUNTIF(Vertices[Eigenvector Centrality],"&gt;="&amp;N14)</f>
        <v>0</v>
      </c>
      <c r="P13" s="41">
        <f t="shared" si="7"/>
        <v>0.0683194411764706</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09"/>
      <c r="B14" s="109"/>
      <c r="D14" s="34">
        <f t="shared" si="1"/>
        <v>0</v>
      </c>
      <c r="E14" s="3">
        <f>COUNTIF(Vertices[Degree],"&gt;= "&amp;D14)-COUNTIF(Vertices[Degree],"&gt;="&amp;D15)</f>
        <v>0</v>
      </c>
      <c r="F14" s="39">
        <f t="shared" si="2"/>
        <v>0.35294117647058826</v>
      </c>
      <c r="G14" s="40">
        <f>COUNTIF(Vertices[In-Degree],"&gt;= "&amp;F14)-COUNTIF(Vertices[In-Degree],"&gt;="&amp;F15)</f>
        <v>0</v>
      </c>
      <c r="H14" s="39">
        <f t="shared" si="3"/>
        <v>4.588235294117647</v>
      </c>
      <c r="I14" s="40">
        <f>COUNTIF(Vertices[Out-Degree],"&gt;= "&amp;H14)-COUNTIF(Vertices[Out-Degree],"&gt;="&amp;H15)</f>
        <v>0</v>
      </c>
      <c r="J14" s="39">
        <f t="shared" si="4"/>
        <v>119.2941176470588</v>
      </c>
      <c r="K14" s="40">
        <f>COUNTIF(Vertices[Betweenness Centrality],"&gt;= "&amp;J14)-COUNTIF(Vertices[Betweenness Centrality],"&gt;="&amp;J15)</f>
        <v>0</v>
      </c>
      <c r="L14" s="39">
        <f t="shared" si="5"/>
        <v>0.4463117647058825</v>
      </c>
      <c r="M14" s="40">
        <f>COUNTIF(Vertices[Closeness Centrality],"&gt;= "&amp;L14)-COUNTIF(Vertices[Closeness Centrality],"&gt;="&amp;L15)</f>
        <v>0</v>
      </c>
      <c r="N14" s="39">
        <f t="shared" si="6"/>
        <v>0.1457948823529412</v>
      </c>
      <c r="O14" s="40">
        <f>COUNTIF(Vertices[Eigenvector Centrality],"&gt;= "&amp;N14)-COUNTIF(Vertices[Eigenvector Centrality],"&gt;="&amp;N15)</f>
        <v>0</v>
      </c>
      <c r="P14" s="39">
        <f t="shared" si="7"/>
        <v>0.07073011764705883</v>
      </c>
      <c r="Q14" s="40">
        <f>COUNTIF(Vertices[PageRank],"&gt;= "&amp;P14)-COUNTIF(Vertices[PageRank],"&gt;="&amp;P15)</f>
        <v>1</v>
      </c>
      <c r="R14" s="39">
        <f t="shared" si="8"/>
        <v>0</v>
      </c>
      <c r="S14" s="45">
        <f>COUNTIF(Vertices[Clustering Coefficient],"&gt;= "&amp;R14)-COUNTIF(Vertices[Clustering Coefficient],"&gt;="&amp;R15)</f>
        <v>0</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4.970588235294118</v>
      </c>
      <c r="I15" s="42">
        <f>COUNTIF(Vertices[Out-Degree],"&gt;= "&amp;H15)-COUNTIF(Vertices[Out-Degree],"&gt;="&amp;H16)</f>
        <v>0</v>
      </c>
      <c r="J15" s="41">
        <f t="shared" si="4"/>
        <v>129.23529411764704</v>
      </c>
      <c r="K15" s="42">
        <f>COUNTIF(Vertices[Betweenness Centrality],"&gt;= "&amp;J15)-COUNTIF(Vertices[Betweenness Centrality],"&gt;="&amp;J16)</f>
        <v>0</v>
      </c>
      <c r="L15" s="41">
        <f t="shared" si="5"/>
        <v>0.45969491176470606</v>
      </c>
      <c r="M15" s="42">
        <f>COUNTIF(Vertices[Closeness Centrality],"&gt;= "&amp;L15)-COUNTIF(Vertices[Closeness Centrality],"&gt;="&amp;L16)</f>
        <v>0</v>
      </c>
      <c r="N15" s="41">
        <f t="shared" si="6"/>
        <v>0.15570470588235297</v>
      </c>
      <c r="O15" s="42">
        <f>COUNTIF(Vertices[Eigenvector Centrality],"&gt;= "&amp;N15)-COUNTIF(Vertices[Eigenvector Centrality],"&gt;="&amp;N16)</f>
        <v>0</v>
      </c>
      <c r="P15" s="41">
        <f t="shared" si="7"/>
        <v>0.07314079411764707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0.411764705882353</v>
      </c>
      <c r="G16" s="40">
        <f>COUNTIF(Vertices[In-Degree],"&gt;= "&amp;F16)-COUNTIF(Vertices[In-Degree],"&gt;="&amp;F17)</f>
        <v>0</v>
      </c>
      <c r="H16" s="39">
        <f t="shared" si="3"/>
        <v>5.352941176470589</v>
      </c>
      <c r="I16" s="40">
        <f>COUNTIF(Vertices[Out-Degree],"&gt;= "&amp;H16)-COUNTIF(Vertices[Out-Degree],"&gt;="&amp;H17)</f>
        <v>0</v>
      </c>
      <c r="J16" s="39">
        <f t="shared" si="4"/>
        <v>139.17647058823528</v>
      </c>
      <c r="K16" s="40">
        <f>COUNTIF(Vertices[Betweenness Centrality],"&gt;= "&amp;J16)-COUNTIF(Vertices[Betweenness Centrality],"&gt;="&amp;J17)</f>
        <v>0</v>
      </c>
      <c r="L16" s="39">
        <f t="shared" si="5"/>
        <v>0.4730780588235296</v>
      </c>
      <c r="M16" s="40">
        <f>COUNTIF(Vertices[Closeness Centrality],"&gt;= "&amp;L16)-COUNTIF(Vertices[Closeness Centrality],"&gt;="&amp;L17)</f>
        <v>0</v>
      </c>
      <c r="N16" s="39">
        <f t="shared" si="6"/>
        <v>0.16561452941176474</v>
      </c>
      <c r="O16" s="40">
        <f>COUNTIF(Vertices[Eigenvector Centrality],"&gt;= "&amp;N16)-COUNTIF(Vertices[Eigenvector Centrality],"&gt;="&amp;N17)</f>
        <v>0</v>
      </c>
      <c r="P16" s="39">
        <f t="shared" si="7"/>
        <v>0.0755514705882353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154</v>
      </c>
      <c r="B17" s="36">
        <v>21</v>
      </c>
      <c r="D17" s="34">
        <f t="shared" si="1"/>
        <v>0</v>
      </c>
      <c r="E17" s="3">
        <f>COUNTIF(Vertices[Degree],"&gt;= "&amp;D17)-COUNTIF(Vertices[Degree],"&gt;="&amp;D18)</f>
        <v>0</v>
      </c>
      <c r="F17" s="41">
        <f t="shared" si="2"/>
        <v>0.44117647058823534</v>
      </c>
      <c r="G17" s="42">
        <f>COUNTIF(Vertices[In-Degree],"&gt;= "&amp;F17)-COUNTIF(Vertices[In-Degree],"&gt;="&amp;F18)</f>
        <v>0</v>
      </c>
      <c r="H17" s="41">
        <f t="shared" si="3"/>
        <v>5.73529411764706</v>
      </c>
      <c r="I17" s="42">
        <f>COUNTIF(Vertices[Out-Degree],"&gt;= "&amp;H17)-COUNTIF(Vertices[Out-Degree],"&gt;="&amp;H18)</f>
        <v>1</v>
      </c>
      <c r="J17" s="41">
        <f t="shared" si="4"/>
        <v>149.1176470588235</v>
      </c>
      <c r="K17" s="42">
        <f>COUNTIF(Vertices[Betweenness Centrality],"&gt;= "&amp;J17)-COUNTIF(Vertices[Betweenness Centrality],"&gt;="&amp;J18)</f>
        <v>0</v>
      </c>
      <c r="L17" s="41">
        <f t="shared" si="5"/>
        <v>0.48646120588235314</v>
      </c>
      <c r="M17" s="42">
        <f>COUNTIF(Vertices[Closeness Centrality],"&gt;= "&amp;L17)-COUNTIF(Vertices[Closeness Centrality],"&gt;="&amp;L18)</f>
        <v>0</v>
      </c>
      <c r="N17" s="41">
        <f t="shared" si="6"/>
        <v>0.17552435294117652</v>
      </c>
      <c r="O17" s="42">
        <f>COUNTIF(Vertices[Eigenvector Centrality],"&gt;= "&amp;N17)-COUNTIF(Vertices[Eigenvector Centrality],"&gt;="&amp;N18)</f>
        <v>0</v>
      </c>
      <c r="P17" s="41">
        <f t="shared" si="7"/>
        <v>0.07796214705882354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155</v>
      </c>
      <c r="B18" s="36">
        <v>20</v>
      </c>
      <c r="D18" s="34">
        <f t="shared" si="1"/>
        <v>0</v>
      </c>
      <c r="E18" s="3">
        <f>COUNTIF(Vertices[Degree],"&gt;= "&amp;D18)-COUNTIF(Vertices[Degree],"&gt;="&amp;D19)</f>
        <v>0</v>
      </c>
      <c r="F18" s="39">
        <f t="shared" si="2"/>
        <v>0.4705882352941177</v>
      </c>
      <c r="G18" s="40">
        <f>COUNTIF(Vertices[In-Degree],"&gt;= "&amp;F18)-COUNTIF(Vertices[In-Degree],"&gt;="&amp;F19)</f>
        <v>0</v>
      </c>
      <c r="H18" s="39">
        <f t="shared" si="3"/>
        <v>6.117647058823531</v>
      </c>
      <c r="I18" s="40">
        <f>COUNTIF(Vertices[Out-Degree],"&gt;= "&amp;H18)-COUNTIF(Vertices[Out-Degree],"&gt;="&amp;H19)</f>
        <v>0</v>
      </c>
      <c r="J18" s="39">
        <f t="shared" si="4"/>
        <v>159.05882352941174</v>
      </c>
      <c r="K18" s="40">
        <f>COUNTIF(Vertices[Betweenness Centrality],"&gt;= "&amp;J18)-COUNTIF(Vertices[Betweenness Centrality],"&gt;="&amp;J19)</f>
        <v>0</v>
      </c>
      <c r="L18" s="39">
        <f t="shared" si="5"/>
        <v>0.4998443529411767</v>
      </c>
      <c r="M18" s="40">
        <f>COUNTIF(Vertices[Closeness Centrality],"&gt;= "&amp;L18)-COUNTIF(Vertices[Closeness Centrality],"&gt;="&amp;L19)</f>
        <v>0</v>
      </c>
      <c r="N18" s="39">
        <f t="shared" si="6"/>
        <v>0.1854341764705883</v>
      </c>
      <c r="O18" s="40">
        <f>COUNTIF(Vertices[Eigenvector Centrality],"&gt;= "&amp;N18)-COUNTIF(Vertices[Eigenvector Centrality],"&gt;="&amp;N19)</f>
        <v>0</v>
      </c>
      <c r="P18" s="39">
        <f t="shared" si="7"/>
        <v>0.08037282352941177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09"/>
      <c r="B19" s="109"/>
      <c r="D19" s="34">
        <f t="shared" si="1"/>
        <v>0</v>
      </c>
      <c r="E19" s="3">
        <f>COUNTIF(Vertices[Degree],"&gt;= "&amp;D19)-COUNTIF(Vertices[Degree],"&gt;="&amp;D20)</f>
        <v>0</v>
      </c>
      <c r="F19" s="41">
        <f t="shared" si="2"/>
        <v>0.5</v>
      </c>
      <c r="G19" s="42">
        <f>COUNTIF(Vertices[In-Degree],"&gt;= "&amp;F19)-COUNTIF(Vertices[In-Degree],"&gt;="&amp;F20)</f>
        <v>0</v>
      </c>
      <c r="H19" s="41">
        <f t="shared" si="3"/>
        <v>6.500000000000002</v>
      </c>
      <c r="I19" s="42">
        <f>COUNTIF(Vertices[Out-Degree],"&gt;= "&amp;H19)-COUNTIF(Vertices[Out-Degree],"&gt;="&amp;H20)</f>
        <v>0</v>
      </c>
      <c r="J19" s="41">
        <f t="shared" si="4"/>
        <v>168.99999999999997</v>
      </c>
      <c r="K19" s="42">
        <f>COUNTIF(Vertices[Betweenness Centrality],"&gt;= "&amp;J19)-COUNTIF(Vertices[Betweenness Centrality],"&gt;="&amp;J20)</f>
        <v>0</v>
      </c>
      <c r="L19" s="41">
        <f t="shared" si="5"/>
        <v>0.5132275000000002</v>
      </c>
      <c r="M19" s="42">
        <f>COUNTIF(Vertices[Closeness Centrality],"&gt;= "&amp;L19)-COUNTIF(Vertices[Closeness Centrality],"&gt;="&amp;L20)</f>
        <v>0</v>
      </c>
      <c r="N19" s="41">
        <f t="shared" si="6"/>
        <v>0.19534400000000007</v>
      </c>
      <c r="O19" s="42">
        <f>COUNTIF(Vertices[Eigenvector Centrality],"&gt;= "&amp;N19)-COUNTIF(Vertices[Eigenvector Centrality],"&gt;="&amp;N20)</f>
        <v>0</v>
      </c>
      <c r="P19" s="41">
        <f t="shared" si="7"/>
        <v>0.08278350000000001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156</v>
      </c>
      <c r="B20" s="36">
        <v>4</v>
      </c>
      <c r="D20" s="34">
        <f t="shared" si="1"/>
        <v>0</v>
      </c>
      <c r="E20" s="3">
        <f>COUNTIF(Vertices[Degree],"&gt;= "&amp;D20)-COUNTIF(Vertices[Degree],"&gt;="&amp;D21)</f>
        <v>0</v>
      </c>
      <c r="F20" s="39">
        <f t="shared" si="2"/>
        <v>0.5294117647058824</v>
      </c>
      <c r="G20" s="40">
        <f>COUNTIF(Vertices[In-Degree],"&gt;= "&amp;F20)-COUNTIF(Vertices[In-Degree],"&gt;="&amp;F21)</f>
        <v>0</v>
      </c>
      <c r="H20" s="39">
        <f t="shared" si="3"/>
        <v>6.882352941176473</v>
      </c>
      <c r="I20" s="40">
        <f>COUNTIF(Vertices[Out-Degree],"&gt;= "&amp;H20)-COUNTIF(Vertices[Out-Degree],"&gt;="&amp;H21)</f>
        <v>0</v>
      </c>
      <c r="J20" s="39">
        <f t="shared" si="4"/>
        <v>178.9411764705882</v>
      </c>
      <c r="K20" s="40">
        <f>COUNTIF(Vertices[Betweenness Centrality],"&gt;= "&amp;J20)-COUNTIF(Vertices[Betweenness Centrality],"&gt;="&amp;J21)</f>
        <v>0</v>
      </c>
      <c r="L20" s="39">
        <f t="shared" si="5"/>
        <v>0.5266106470588237</v>
      </c>
      <c r="M20" s="40">
        <f>COUNTIF(Vertices[Closeness Centrality],"&gt;= "&amp;L20)-COUNTIF(Vertices[Closeness Centrality],"&gt;="&amp;L21)</f>
        <v>0</v>
      </c>
      <c r="N20" s="39">
        <f t="shared" si="6"/>
        <v>0.20525382352941185</v>
      </c>
      <c r="O20" s="40">
        <f>COUNTIF(Vertices[Eigenvector Centrality],"&gt;= "&amp;N20)-COUNTIF(Vertices[Eigenvector Centrality],"&gt;="&amp;N21)</f>
        <v>0</v>
      </c>
      <c r="P20" s="39">
        <f t="shared" si="7"/>
        <v>0.08519417647058825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157</v>
      </c>
      <c r="B21" s="36">
        <v>2.249433</v>
      </c>
      <c r="D21" s="34">
        <f t="shared" si="1"/>
        <v>0</v>
      </c>
      <c r="E21" s="3">
        <f>COUNTIF(Vertices[Degree],"&gt;= "&amp;D21)-COUNTIF(Vertices[Degree],"&gt;="&amp;D22)</f>
        <v>0</v>
      </c>
      <c r="F21" s="41">
        <f t="shared" si="2"/>
        <v>0.5588235294117647</v>
      </c>
      <c r="G21" s="42">
        <f>COUNTIF(Vertices[In-Degree],"&gt;= "&amp;F21)-COUNTIF(Vertices[In-Degree],"&gt;="&amp;F22)</f>
        <v>0</v>
      </c>
      <c r="H21" s="41">
        <f t="shared" si="3"/>
        <v>7.264705882352944</v>
      </c>
      <c r="I21" s="42">
        <f>COUNTIF(Vertices[Out-Degree],"&gt;= "&amp;H21)-COUNTIF(Vertices[Out-Degree],"&gt;="&amp;H22)</f>
        <v>0</v>
      </c>
      <c r="J21" s="41">
        <f t="shared" si="4"/>
        <v>188.88235294117644</v>
      </c>
      <c r="K21" s="42">
        <f>COUNTIF(Vertices[Betweenness Centrality],"&gt;= "&amp;J21)-COUNTIF(Vertices[Betweenness Centrality],"&gt;="&amp;J22)</f>
        <v>1</v>
      </c>
      <c r="L21" s="41">
        <f t="shared" si="5"/>
        <v>0.5399937941176471</v>
      </c>
      <c r="M21" s="42">
        <f>COUNTIF(Vertices[Closeness Centrality],"&gt;= "&amp;L21)-COUNTIF(Vertices[Closeness Centrality],"&gt;="&amp;L22)</f>
        <v>0</v>
      </c>
      <c r="N21" s="41">
        <f t="shared" si="6"/>
        <v>0.21516364705882363</v>
      </c>
      <c r="O21" s="42">
        <f>COUNTIF(Vertices[Eigenvector Centrality],"&gt;= "&amp;N21)-COUNTIF(Vertices[Eigenvector Centrality],"&gt;="&amp;N22)</f>
        <v>0</v>
      </c>
      <c r="P21" s="41">
        <f t="shared" si="7"/>
        <v>0.08760485294117648</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109"/>
      <c r="B22" s="109"/>
      <c r="D22" s="34">
        <f t="shared" si="1"/>
        <v>0</v>
      </c>
      <c r="E22" s="3">
        <f>COUNTIF(Vertices[Degree],"&gt;= "&amp;D22)-COUNTIF(Vertices[Degree],"&gt;="&amp;D23)</f>
        <v>0</v>
      </c>
      <c r="F22" s="39">
        <f t="shared" si="2"/>
        <v>0.5882352941176471</v>
      </c>
      <c r="G22" s="40">
        <f>COUNTIF(Vertices[In-Degree],"&gt;= "&amp;F22)-COUNTIF(Vertices[In-Degree],"&gt;="&amp;F23)</f>
        <v>0</v>
      </c>
      <c r="H22" s="39">
        <f t="shared" si="3"/>
        <v>7.647058823529415</v>
      </c>
      <c r="I22" s="40">
        <f>COUNTIF(Vertices[Out-Degree],"&gt;= "&amp;H22)-COUNTIF(Vertices[Out-Degree],"&gt;="&amp;H23)</f>
        <v>0</v>
      </c>
      <c r="J22" s="39">
        <f t="shared" si="4"/>
        <v>198.82352941176467</v>
      </c>
      <c r="K22" s="40">
        <f>COUNTIF(Vertices[Betweenness Centrality],"&gt;= "&amp;J22)-COUNTIF(Vertices[Betweenness Centrality],"&gt;="&amp;J23)</f>
        <v>0</v>
      </c>
      <c r="L22" s="39">
        <f t="shared" si="5"/>
        <v>0.5533769411764706</v>
      </c>
      <c r="M22" s="40">
        <f>COUNTIF(Vertices[Closeness Centrality],"&gt;= "&amp;L22)-COUNTIF(Vertices[Closeness Centrality],"&gt;="&amp;L23)</f>
        <v>0</v>
      </c>
      <c r="N22" s="39">
        <f t="shared" si="6"/>
        <v>0.2250734705882354</v>
      </c>
      <c r="O22" s="40">
        <f>COUNTIF(Vertices[Eigenvector Centrality],"&gt;= "&amp;N22)-COUNTIF(Vertices[Eigenvector Centrality],"&gt;="&amp;N23)</f>
        <v>0</v>
      </c>
      <c r="P22" s="39">
        <f t="shared" si="7"/>
        <v>0.09001552941176472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158</v>
      </c>
      <c r="B23" s="36">
        <v>0.047619047619047616</v>
      </c>
      <c r="D23" s="34">
        <f t="shared" si="1"/>
        <v>0</v>
      </c>
      <c r="E23" s="3">
        <f>COUNTIF(Vertices[Degree],"&gt;= "&amp;D23)-COUNTIF(Vertices[Degree],"&gt;="&amp;D24)</f>
        <v>0</v>
      </c>
      <c r="F23" s="41">
        <f t="shared" si="2"/>
        <v>0.6176470588235294</v>
      </c>
      <c r="G23" s="42">
        <f>COUNTIF(Vertices[In-Degree],"&gt;= "&amp;F23)-COUNTIF(Vertices[In-Degree],"&gt;="&amp;F24)</f>
        <v>0</v>
      </c>
      <c r="H23" s="41">
        <f t="shared" si="3"/>
        <v>8.029411764705886</v>
      </c>
      <c r="I23" s="42">
        <f>COUNTIF(Vertices[Out-Degree],"&gt;= "&amp;H23)-COUNTIF(Vertices[Out-Degree],"&gt;="&amp;H24)</f>
        <v>0</v>
      </c>
      <c r="J23" s="41">
        <f t="shared" si="4"/>
        <v>208.7647058823529</v>
      </c>
      <c r="K23" s="42">
        <f>COUNTIF(Vertices[Betweenness Centrality],"&gt;= "&amp;J23)-COUNTIF(Vertices[Betweenness Centrality],"&gt;="&amp;J24)</f>
        <v>0</v>
      </c>
      <c r="L23" s="41">
        <f t="shared" si="5"/>
        <v>0.5667600882352941</v>
      </c>
      <c r="M23" s="42">
        <f>COUNTIF(Vertices[Closeness Centrality],"&gt;= "&amp;L23)-COUNTIF(Vertices[Closeness Centrality],"&gt;="&amp;L24)</f>
        <v>0</v>
      </c>
      <c r="N23" s="41">
        <f t="shared" si="6"/>
        <v>0.23498329411764718</v>
      </c>
      <c r="O23" s="42">
        <f>COUNTIF(Vertices[Eigenvector Centrality],"&gt;= "&amp;N23)-COUNTIF(Vertices[Eigenvector Centrality],"&gt;="&amp;N24)</f>
        <v>13</v>
      </c>
      <c r="P23" s="41">
        <f t="shared" si="7"/>
        <v>0.09242620588235295</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267</v>
      </c>
      <c r="B24" s="36">
        <v>0.38875</v>
      </c>
      <c r="D24" s="34">
        <f t="shared" si="1"/>
        <v>0</v>
      </c>
      <c r="E24" s="3">
        <f>COUNTIF(Vertices[Degree],"&gt;= "&amp;D24)-COUNTIF(Vertices[Degree],"&gt;="&amp;D25)</f>
        <v>0</v>
      </c>
      <c r="F24" s="39">
        <f t="shared" si="2"/>
        <v>0.6470588235294118</v>
      </c>
      <c r="G24" s="40">
        <f>COUNTIF(Vertices[In-Degree],"&gt;= "&amp;F24)-COUNTIF(Vertices[In-Degree],"&gt;="&amp;F25)</f>
        <v>0</v>
      </c>
      <c r="H24" s="39">
        <f t="shared" si="3"/>
        <v>8.411764705882357</v>
      </c>
      <c r="I24" s="40">
        <f>COUNTIF(Vertices[Out-Degree],"&gt;= "&amp;H24)-COUNTIF(Vertices[Out-Degree],"&gt;="&amp;H25)</f>
        <v>0</v>
      </c>
      <c r="J24" s="39">
        <f t="shared" si="4"/>
        <v>218.70588235294113</v>
      </c>
      <c r="K24" s="40">
        <f>COUNTIF(Vertices[Betweenness Centrality],"&gt;= "&amp;J24)-COUNTIF(Vertices[Betweenness Centrality],"&gt;="&amp;J25)</f>
        <v>0</v>
      </c>
      <c r="L24" s="39">
        <f t="shared" si="5"/>
        <v>0.5801432352941176</v>
      </c>
      <c r="M24" s="40">
        <f>COUNTIF(Vertices[Closeness Centrality],"&gt;= "&amp;L24)-COUNTIF(Vertices[Closeness Centrality],"&gt;="&amp;L25)</f>
        <v>1</v>
      </c>
      <c r="N24" s="39">
        <f t="shared" si="6"/>
        <v>0.24489311764705896</v>
      </c>
      <c r="O24" s="40">
        <f>COUNTIF(Vertices[Eigenvector Centrality],"&gt;= "&amp;N24)-COUNTIF(Vertices[Eigenvector Centrality],"&gt;="&amp;N25)</f>
        <v>0</v>
      </c>
      <c r="P24" s="39">
        <f t="shared" si="7"/>
        <v>0.09483688235294119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09"/>
      <c r="B25" s="109"/>
      <c r="D25" s="34">
        <f t="shared" si="1"/>
        <v>0</v>
      </c>
      <c r="E25" s="3">
        <f>COUNTIF(Vertices[Degree],"&gt;= "&amp;D25)-COUNTIF(Vertices[Degree],"&gt;="&amp;D26)</f>
        <v>0</v>
      </c>
      <c r="F25" s="41">
        <f t="shared" si="2"/>
        <v>0.6764705882352942</v>
      </c>
      <c r="G25" s="42">
        <f>COUNTIF(Vertices[In-Degree],"&gt;= "&amp;F25)-COUNTIF(Vertices[In-Degree],"&gt;="&amp;F26)</f>
        <v>0</v>
      </c>
      <c r="H25" s="41">
        <f t="shared" si="3"/>
        <v>8.794117647058828</v>
      </c>
      <c r="I25" s="42">
        <f>COUNTIF(Vertices[Out-Degree],"&gt;= "&amp;H25)-COUNTIF(Vertices[Out-Degree],"&gt;="&amp;H26)</f>
        <v>0</v>
      </c>
      <c r="J25" s="41">
        <f t="shared" si="4"/>
        <v>228.64705882352936</v>
      </c>
      <c r="K25" s="42">
        <f>COUNTIF(Vertices[Betweenness Centrality],"&gt;= "&amp;J25)-COUNTIF(Vertices[Betweenness Centrality],"&gt;="&amp;J26)</f>
        <v>0</v>
      </c>
      <c r="L25" s="41">
        <f t="shared" si="5"/>
        <v>0.5935263823529411</v>
      </c>
      <c r="M25" s="42">
        <f>COUNTIF(Vertices[Closeness Centrality],"&gt;= "&amp;L25)-COUNTIF(Vertices[Closeness Centrality],"&gt;="&amp;L26)</f>
        <v>0</v>
      </c>
      <c r="N25" s="41">
        <f t="shared" si="6"/>
        <v>0.25480294117647073</v>
      </c>
      <c r="O25" s="42">
        <f>COUNTIF(Vertices[Eigenvector Centrality],"&gt;= "&amp;N25)-COUNTIF(Vertices[Eigenvector Centrality],"&gt;="&amp;N26)</f>
        <v>0</v>
      </c>
      <c r="P25" s="41">
        <f t="shared" si="7"/>
        <v>0.09724755882352942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268</v>
      </c>
      <c r="B26" s="36" t="s">
        <v>283</v>
      </c>
      <c r="D26" s="34">
        <f t="shared" si="1"/>
        <v>0</v>
      </c>
      <c r="E26" s="3">
        <f>COUNTIF(Vertices[Degree],"&gt;= "&amp;D26)-COUNTIF(Vertices[Degree],"&gt;="&amp;D27)</f>
        <v>0</v>
      </c>
      <c r="F26" s="39">
        <f t="shared" si="2"/>
        <v>0.7058823529411765</v>
      </c>
      <c r="G26" s="40">
        <f>COUNTIF(Vertices[In-Degree],"&gt;= "&amp;F26)-COUNTIF(Vertices[In-Degree],"&gt;="&amp;F27)</f>
        <v>0</v>
      </c>
      <c r="H26" s="39">
        <f t="shared" si="3"/>
        <v>9.176470588235299</v>
      </c>
      <c r="I26" s="40">
        <f>COUNTIF(Vertices[Out-Degree],"&gt;= "&amp;H26)-COUNTIF(Vertices[Out-Degree],"&gt;="&amp;H27)</f>
        <v>0</v>
      </c>
      <c r="J26" s="39">
        <f t="shared" si="4"/>
        <v>238.5882352941176</v>
      </c>
      <c r="K26" s="40">
        <f>COUNTIF(Vertices[Betweenness Centrality],"&gt;= "&amp;J26)-COUNTIF(Vertices[Betweenness Centrality],"&gt;="&amp;J27)</f>
        <v>0</v>
      </c>
      <c r="L26" s="39">
        <f t="shared" si="5"/>
        <v>0.6069095294117646</v>
      </c>
      <c r="M26" s="40">
        <f>COUNTIF(Vertices[Closeness Centrality],"&gt;= "&amp;L26)-COUNTIF(Vertices[Closeness Centrality],"&gt;="&amp;L27)</f>
        <v>0</v>
      </c>
      <c r="N26" s="39">
        <f t="shared" si="6"/>
        <v>0.2647127647058825</v>
      </c>
      <c r="O26" s="40">
        <f>COUNTIF(Vertices[Eigenvector Centrality],"&gt;= "&amp;N26)-COUNTIF(Vertices[Eigenvector Centrality],"&gt;="&amp;N27)</f>
        <v>0</v>
      </c>
      <c r="P26" s="39">
        <f t="shared" si="7"/>
        <v>0.09965823529411766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9"/>
      <c r="B27" s="109"/>
      <c r="D27" s="34">
        <f t="shared" si="1"/>
        <v>0</v>
      </c>
      <c r="E27" s="3">
        <f>COUNTIF(Vertices[Degree],"&gt;= "&amp;D27)-COUNTIF(Vertices[Degree],"&gt;="&amp;D28)</f>
        <v>0</v>
      </c>
      <c r="F27" s="41">
        <f t="shared" si="2"/>
        <v>0.7352941176470589</v>
      </c>
      <c r="G27" s="42">
        <f>COUNTIF(Vertices[In-Degree],"&gt;= "&amp;F27)-COUNTIF(Vertices[In-Degree],"&gt;="&amp;F28)</f>
        <v>0</v>
      </c>
      <c r="H27" s="41">
        <f t="shared" si="3"/>
        <v>9.55882352941177</v>
      </c>
      <c r="I27" s="42">
        <f>COUNTIF(Vertices[Out-Degree],"&gt;= "&amp;H27)-COUNTIF(Vertices[Out-Degree],"&gt;="&amp;H28)</f>
        <v>0</v>
      </c>
      <c r="J27" s="41">
        <f t="shared" si="4"/>
        <v>248.52941176470583</v>
      </c>
      <c r="K27" s="42">
        <f>COUNTIF(Vertices[Betweenness Centrality],"&gt;= "&amp;J27)-COUNTIF(Vertices[Betweenness Centrality],"&gt;="&amp;J28)</f>
        <v>0</v>
      </c>
      <c r="L27" s="41">
        <f t="shared" si="5"/>
        <v>0.6202926764705881</v>
      </c>
      <c r="M27" s="42">
        <f>COUNTIF(Vertices[Closeness Centrality],"&gt;= "&amp;L27)-COUNTIF(Vertices[Closeness Centrality],"&gt;="&amp;L28)</f>
        <v>0</v>
      </c>
      <c r="N27" s="41">
        <f t="shared" si="6"/>
        <v>0.2746225882352943</v>
      </c>
      <c r="O27" s="42">
        <f>COUNTIF(Vertices[Eigenvector Centrality],"&gt;= "&amp;N27)-COUNTIF(Vertices[Eigenvector Centrality],"&gt;="&amp;N28)</f>
        <v>0</v>
      </c>
      <c r="P27" s="41">
        <f t="shared" si="7"/>
        <v>0.1020689117647059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269</v>
      </c>
      <c r="B28" s="36" t="s">
        <v>326</v>
      </c>
      <c r="D28" s="34">
        <f t="shared" si="1"/>
        <v>0</v>
      </c>
      <c r="E28" s="3">
        <f>COUNTIF(Vertices[Degree],"&gt;= "&amp;D28)-COUNTIF(Vertices[Degree],"&gt;="&amp;D29)</f>
        <v>0</v>
      </c>
      <c r="F28" s="39">
        <f t="shared" si="2"/>
        <v>0.7647058823529412</v>
      </c>
      <c r="G28" s="40">
        <f>COUNTIF(Vertices[In-Degree],"&gt;= "&amp;F28)-COUNTIF(Vertices[In-Degree],"&gt;="&amp;F29)</f>
        <v>0</v>
      </c>
      <c r="H28" s="39">
        <f t="shared" si="3"/>
        <v>9.94117647058824</v>
      </c>
      <c r="I28" s="40">
        <f>COUNTIF(Vertices[Out-Degree],"&gt;= "&amp;H28)-COUNTIF(Vertices[Out-Degree],"&gt;="&amp;H29)</f>
        <v>0</v>
      </c>
      <c r="J28" s="39">
        <f t="shared" si="4"/>
        <v>258.4705882352941</v>
      </c>
      <c r="K28" s="40">
        <f>COUNTIF(Vertices[Betweenness Centrality],"&gt;= "&amp;J28)-COUNTIF(Vertices[Betweenness Centrality],"&gt;="&amp;J29)</f>
        <v>0</v>
      </c>
      <c r="L28" s="39">
        <f t="shared" si="5"/>
        <v>0.6336758235294115</v>
      </c>
      <c r="M28" s="40">
        <f>COUNTIF(Vertices[Closeness Centrality],"&gt;= "&amp;L28)-COUNTIF(Vertices[Closeness Centrality],"&gt;="&amp;L29)</f>
        <v>0</v>
      </c>
      <c r="N28" s="39">
        <f t="shared" si="6"/>
        <v>0.28453241176470606</v>
      </c>
      <c r="O28" s="40">
        <f>COUNTIF(Vertices[Eigenvector Centrality],"&gt;= "&amp;N28)-COUNTIF(Vertices[Eigenvector Centrality],"&gt;="&amp;N29)</f>
        <v>0</v>
      </c>
      <c r="P28" s="39">
        <f t="shared" si="7"/>
        <v>0.10447958823529413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270</v>
      </c>
      <c r="B29" s="36" t="s">
        <v>327</v>
      </c>
      <c r="D29" s="34">
        <f t="shared" si="1"/>
        <v>0</v>
      </c>
      <c r="E29" s="3">
        <f>COUNTIF(Vertices[Degree],"&gt;= "&amp;D29)-COUNTIF(Vertices[Degree],"&gt;="&amp;D30)</f>
        <v>0</v>
      </c>
      <c r="F29" s="41">
        <f t="shared" si="2"/>
        <v>0.7941176470588236</v>
      </c>
      <c r="G29" s="42">
        <f>COUNTIF(Vertices[In-Degree],"&gt;= "&amp;F29)-COUNTIF(Vertices[In-Degree],"&gt;="&amp;F30)</f>
        <v>0</v>
      </c>
      <c r="H29" s="41">
        <f t="shared" si="3"/>
        <v>10.323529411764712</v>
      </c>
      <c r="I29" s="42">
        <f>COUNTIF(Vertices[Out-Degree],"&gt;= "&amp;H29)-COUNTIF(Vertices[Out-Degree],"&gt;="&amp;H30)</f>
        <v>0</v>
      </c>
      <c r="J29" s="41">
        <f t="shared" si="4"/>
        <v>268.4117647058823</v>
      </c>
      <c r="K29" s="42">
        <f>COUNTIF(Vertices[Betweenness Centrality],"&gt;= "&amp;J29)-COUNTIF(Vertices[Betweenness Centrality],"&gt;="&amp;J30)</f>
        <v>0</v>
      </c>
      <c r="L29" s="41">
        <f t="shared" si="5"/>
        <v>0.647058970588235</v>
      </c>
      <c r="M29" s="42">
        <f>COUNTIF(Vertices[Closeness Centrality],"&gt;= "&amp;L29)-COUNTIF(Vertices[Closeness Centrality],"&gt;="&amp;L30)</f>
        <v>0</v>
      </c>
      <c r="N29" s="41">
        <f t="shared" si="6"/>
        <v>0.29444223529411784</v>
      </c>
      <c r="O29" s="42">
        <f>COUNTIF(Vertices[Eigenvector Centrality],"&gt;= "&amp;N29)-COUNTIF(Vertices[Eigenvector Centrality],"&gt;="&amp;N30)</f>
        <v>0</v>
      </c>
      <c r="P29" s="41">
        <f t="shared" si="7"/>
        <v>0.10689026470588237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09"/>
      <c r="B30" s="109"/>
      <c r="D30" s="34">
        <f t="shared" si="1"/>
        <v>0</v>
      </c>
      <c r="E30" s="3">
        <f>COUNTIF(Vertices[Degree],"&gt;= "&amp;D30)-COUNTIF(Vertices[Degree],"&gt;="&amp;D31)</f>
        <v>0</v>
      </c>
      <c r="F30" s="39">
        <f t="shared" si="2"/>
        <v>0.823529411764706</v>
      </c>
      <c r="G30" s="40">
        <f>COUNTIF(Vertices[In-Degree],"&gt;= "&amp;F30)-COUNTIF(Vertices[In-Degree],"&gt;="&amp;F31)</f>
        <v>0</v>
      </c>
      <c r="H30" s="39">
        <f t="shared" si="3"/>
        <v>10.705882352941183</v>
      </c>
      <c r="I30" s="40">
        <f>COUNTIF(Vertices[Out-Degree],"&gt;= "&amp;H30)-COUNTIF(Vertices[Out-Degree],"&gt;="&amp;H31)</f>
        <v>0</v>
      </c>
      <c r="J30" s="39">
        <f t="shared" si="4"/>
        <v>278.35294117647055</v>
      </c>
      <c r="K30" s="40">
        <f>COUNTIF(Vertices[Betweenness Centrality],"&gt;= "&amp;J30)-COUNTIF(Vertices[Betweenness Centrality],"&gt;="&amp;J31)</f>
        <v>0</v>
      </c>
      <c r="L30" s="39">
        <f t="shared" si="5"/>
        <v>0.6604421176470585</v>
      </c>
      <c r="M30" s="40">
        <f>COUNTIF(Vertices[Closeness Centrality],"&gt;= "&amp;L30)-COUNTIF(Vertices[Closeness Centrality],"&gt;="&amp;L31)</f>
        <v>0</v>
      </c>
      <c r="N30" s="39">
        <f t="shared" si="6"/>
        <v>0.3043520588235296</v>
      </c>
      <c r="O30" s="40">
        <f>COUNTIF(Vertices[Eigenvector Centrality],"&gt;= "&amp;N30)-COUNTIF(Vertices[Eigenvector Centrality],"&gt;="&amp;N31)</f>
        <v>0</v>
      </c>
      <c r="P30" s="39">
        <f t="shared" si="7"/>
        <v>0.1093009411764706</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271</v>
      </c>
      <c r="B31" s="36" t="s">
        <v>321</v>
      </c>
      <c r="D31" s="34">
        <f t="shared" si="1"/>
        <v>0</v>
      </c>
      <c r="E31" s="3">
        <f>COUNTIF(Vertices[Degree],"&gt;= "&amp;D31)-COUNTIF(Vertices[Degree],"&gt;="&amp;D32)</f>
        <v>0</v>
      </c>
      <c r="F31" s="41">
        <f t="shared" si="2"/>
        <v>0.8529411764705883</v>
      </c>
      <c r="G31" s="42">
        <f>COUNTIF(Vertices[In-Degree],"&gt;= "&amp;F31)-COUNTIF(Vertices[In-Degree],"&gt;="&amp;F32)</f>
        <v>0</v>
      </c>
      <c r="H31" s="41">
        <f t="shared" si="3"/>
        <v>11.088235294117654</v>
      </c>
      <c r="I31" s="42">
        <f>COUNTIF(Vertices[Out-Degree],"&gt;= "&amp;H31)-COUNTIF(Vertices[Out-Degree],"&gt;="&amp;H32)</f>
        <v>0</v>
      </c>
      <c r="J31" s="41">
        <f t="shared" si="4"/>
        <v>288.2941176470588</v>
      </c>
      <c r="K31" s="42">
        <f>COUNTIF(Vertices[Betweenness Centrality],"&gt;= "&amp;J31)-COUNTIF(Vertices[Betweenness Centrality],"&gt;="&amp;J32)</f>
        <v>0</v>
      </c>
      <c r="L31" s="41">
        <f t="shared" si="5"/>
        <v>0.673825264705882</v>
      </c>
      <c r="M31" s="42">
        <f>COUNTIF(Vertices[Closeness Centrality],"&gt;= "&amp;L31)-COUNTIF(Vertices[Closeness Centrality],"&gt;="&amp;L32)</f>
        <v>0</v>
      </c>
      <c r="N31" s="41">
        <f t="shared" si="6"/>
        <v>0.3142618823529414</v>
      </c>
      <c r="O31" s="42">
        <f>COUNTIF(Vertices[Eigenvector Centrality],"&gt;= "&amp;N31)-COUNTIF(Vertices[Eigenvector Centrality],"&gt;="&amp;N32)</f>
        <v>0</v>
      </c>
      <c r="P31" s="41">
        <f t="shared" si="7"/>
        <v>0.11171161764705884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272</v>
      </c>
      <c r="B32" s="36" t="s">
        <v>322</v>
      </c>
      <c r="D32" s="34">
        <f t="shared" si="1"/>
        <v>0</v>
      </c>
      <c r="E32" s="3">
        <f>COUNTIF(Vertices[Degree],"&gt;= "&amp;D32)-COUNTIF(Vertices[Degree],"&gt;="&amp;D33)</f>
        <v>0</v>
      </c>
      <c r="F32" s="39">
        <f t="shared" si="2"/>
        <v>0.8823529411764707</v>
      </c>
      <c r="G32" s="40">
        <f>COUNTIF(Vertices[In-Degree],"&gt;= "&amp;F32)-COUNTIF(Vertices[In-Degree],"&gt;="&amp;F33)</f>
        <v>0</v>
      </c>
      <c r="H32" s="39">
        <f t="shared" si="3"/>
        <v>11.470588235294125</v>
      </c>
      <c r="I32" s="40">
        <f>COUNTIF(Vertices[Out-Degree],"&gt;= "&amp;H32)-COUNTIF(Vertices[Out-Degree],"&gt;="&amp;H33)</f>
        <v>0</v>
      </c>
      <c r="J32" s="39">
        <f t="shared" si="4"/>
        <v>298.235294117647</v>
      </c>
      <c r="K32" s="40">
        <f>COUNTIF(Vertices[Betweenness Centrality],"&gt;= "&amp;J32)-COUNTIF(Vertices[Betweenness Centrality],"&gt;="&amp;J33)</f>
        <v>0</v>
      </c>
      <c r="L32" s="39">
        <f t="shared" si="5"/>
        <v>0.6872084117647055</v>
      </c>
      <c r="M32" s="40">
        <f>COUNTIF(Vertices[Closeness Centrality],"&gt;= "&amp;L32)-COUNTIF(Vertices[Closeness Centrality],"&gt;="&amp;L33)</f>
        <v>0</v>
      </c>
      <c r="N32" s="39">
        <f t="shared" si="6"/>
        <v>0.32417170588235317</v>
      </c>
      <c r="O32" s="40">
        <f>COUNTIF(Vertices[Eigenvector Centrality],"&gt;= "&amp;N32)-COUNTIF(Vertices[Eigenvector Centrality],"&gt;="&amp;N33)</f>
        <v>0</v>
      </c>
      <c r="P32" s="39">
        <f t="shared" si="7"/>
        <v>0.11412229411764707</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35">
      <c r="A33" s="36" t="s">
        <v>273</v>
      </c>
      <c r="B33" s="66" t="s">
        <v>323</v>
      </c>
      <c r="D33" s="34">
        <f t="shared" si="1"/>
        <v>0</v>
      </c>
      <c r="E33" s="3">
        <f>COUNTIF(Vertices[Degree],"&gt;= "&amp;D33)-COUNTIF(Vertices[Degree],"&gt;="&amp;D34)</f>
        <v>0</v>
      </c>
      <c r="F33" s="41">
        <f t="shared" si="2"/>
        <v>0.911764705882353</v>
      </c>
      <c r="G33" s="42">
        <f>COUNTIF(Vertices[In-Degree],"&gt;= "&amp;F33)-COUNTIF(Vertices[In-Degree],"&gt;="&amp;F34)</f>
        <v>0</v>
      </c>
      <c r="H33" s="41">
        <f t="shared" si="3"/>
        <v>11.852941176470596</v>
      </c>
      <c r="I33" s="42">
        <f>COUNTIF(Vertices[Out-Degree],"&gt;= "&amp;H33)-COUNTIF(Vertices[Out-Degree],"&gt;="&amp;H34)</f>
        <v>0</v>
      </c>
      <c r="J33" s="41">
        <f t="shared" si="4"/>
        <v>308.17647058823525</v>
      </c>
      <c r="K33" s="42">
        <f>COUNTIF(Vertices[Betweenness Centrality],"&gt;= "&amp;J33)-COUNTIF(Vertices[Betweenness Centrality],"&gt;="&amp;J34)</f>
        <v>0</v>
      </c>
      <c r="L33" s="41">
        <f t="shared" si="5"/>
        <v>0.700591558823529</v>
      </c>
      <c r="M33" s="42">
        <f>COUNTIF(Vertices[Closeness Centrality],"&gt;= "&amp;L33)-COUNTIF(Vertices[Closeness Centrality],"&gt;="&amp;L34)</f>
        <v>0</v>
      </c>
      <c r="N33" s="41">
        <f t="shared" si="6"/>
        <v>0.33408152941176494</v>
      </c>
      <c r="O33" s="42">
        <f>COUNTIF(Vertices[Eigenvector Centrality],"&gt;= "&amp;N33)-COUNTIF(Vertices[Eigenvector Centrality],"&gt;="&amp;N34)</f>
        <v>0</v>
      </c>
      <c r="P33" s="41">
        <f t="shared" si="7"/>
        <v>0.11653297058823531</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274</v>
      </c>
      <c r="B34" s="36" t="s">
        <v>324</v>
      </c>
      <c r="D34" s="34">
        <f t="shared" si="1"/>
        <v>0</v>
      </c>
      <c r="E34" s="3">
        <f>COUNTIF(Vertices[Degree],"&gt;= "&amp;D34)-COUNTIF(Vertices[Degree],"&gt;="&amp;D35)</f>
        <v>0</v>
      </c>
      <c r="F34" s="39">
        <f t="shared" si="2"/>
        <v>0.9411764705882354</v>
      </c>
      <c r="G34" s="40">
        <f>COUNTIF(Vertices[In-Degree],"&gt;= "&amp;F34)-COUNTIF(Vertices[In-Degree],"&gt;="&amp;F35)</f>
        <v>0</v>
      </c>
      <c r="H34" s="39">
        <f t="shared" si="3"/>
        <v>12.235294117647067</v>
      </c>
      <c r="I34" s="40">
        <f>COUNTIF(Vertices[Out-Degree],"&gt;= "&amp;H34)-COUNTIF(Vertices[Out-Degree],"&gt;="&amp;H35)</f>
        <v>0</v>
      </c>
      <c r="J34" s="39">
        <f t="shared" si="4"/>
        <v>318.1176470588235</v>
      </c>
      <c r="K34" s="40">
        <f>COUNTIF(Vertices[Betweenness Centrality],"&gt;= "&amp;J34)-COUNTIF(Vertices[Betweenness Centrality],"&gt;="&amp;J35)</f>
        <v>0</v>
      </c>
      <c r="L34" s="39">
        <f t="shared" si="5"/>
        <v>0.7139747058823525</v>
      </c>
      <c r="M34" s="40">
        <f>COUNTIF(Vertices[Closeness Centrality],"&gt;= "&amp;L34)-COUNTIF(Vertices[Closeness Centrality],"&gt;="&amp;L35)</f>
        <v>0</v>
      </c>
      <c r="N34" s="39">
        <f t="shared" si="6"/>
        <v>0.3439913529411767</v>
      </c>
      <c r="O34" s="40">
        <f>COUNTIF(Vertices[Eigenvector Centrality],"&gt;= "&amp;N34)-COUNTIF(Vertices[Eigenvector Centrality],"&gt;="&amp;N35)</f>
        <v>0</v>
      </c>
      <c r="P34" s="39">
        <f t="shared" si="7"/>
        <v>0.11894364705882354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275</v>
      </c>
      <c r="B35" s="36" t="s">
        <v>325</v>
      </c>
      <c r="D35" s="34">
        <f t="shared" si="1"/>
        <v>0</v>
      </c>
      <c r="E35" s="3">
        <f>COUNTIF(Vertices[Degree],"&gt;= "&amp;D35)-COUNTIF(Vertices[Degree],"&gt;="&amp;D36)</f>
        <v>0</v>
      </c>
      <c r="F35" s="41">
        <f t="shared" si="2"/>
        <v>0.9705882352941178</v>
      </c>
      <c r="G35" s="42">
        <f>COUNTIF(Vertices[In-Degree],"&gt;= "&amp;F35)-COUNTIF(Vertices[In-Degree],"&gt;="&amp;F36)</f>
        <v>0</v>
      </c>
      <c r="H35" s="41">
        <f t="shared" si="3"/>
        <v>12.617647058823538</v>
      </c>
      <c r="I35" s="42">
        <f>COUNTIF(Vertices[Out-Degree],"&gt;= "&amp;H35)-COUNTIF(Vertices[Out-Degree],"&gt;="&amp;H36)</f>
        <v>0</v>
      </c>
      <c r="J35" s="41">
        <f t="shared" si="4"/>
        <v>328.0588235294117</v>
      </c>
      <c r="K35" s="42">
        <f>COUNTIF(Vertices[Betweenness Centrality],"&gt;= "&amp;J35)-COUNTIF(Vertices[Betweenness Centrality],"&gt;="&amp;J36)</f>
        <v>0</v>
      </c>
      <c r="L35" s="41">
        <f t="shared" si="5"/>
        <v>0.7273578529411759</v>
      </c>
      <c r="M35" s="42">
        <f>COUNTIF(Vertices[Closeness Centrality],"&gt;= "&amp;L35)-COUNTIF(Vertices[Closeness Centrality],"&gt;="&amp;L36)</f>
        <v>0</v>
      </c>
      <c r="N35" s="41">
        <f t="shared" si="6"/>
        <v>0.3539011764705885</v>
      </c>
      <c r="O35" s="42">
        <f>COUNTIF(Vertices[Eigenvector Centrality],"&gt;= "&amp;N35)-COUNTIF(Vertices[Eigenvector Centrality],"&gt;="&amp;N36)</f>
        <v>1</v>
      </c>
      <c r="P35" s="41">
        <f t="shared" si="7"/>
        <v>0.12135432352941178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276</v>
      </c>
      <c r="B36" s="36"/>
      <c r="D36" s="34">
        <f>MAX(Vertices[Degree])</f>
        <v>0</v>
      </c>
      <c r="E36" s="3">
        <f>COUNTIF(Vertices[Degree],"&gt;= "&amp;D36)-COUNTIF(Vertices[Degree],"&gt;="&amp;#REF!)</f>
        <v>0</v>
      </c>
      <c r="F36" s="43">
        <f>MAX(Vertices[In-Degree])</f>
        <v>1</v>
      </c>
      <c r="G36" s="44">
        <f>COUNTIF(Vertices[In-Degree],"&gt;= "&amp;F36)-COUNTIF(Vertices[In-Degree],"&gt;="&amp;#REF!)</f>
        <v>20</v>
      </c>
      <c r="H36" s="43">
        <f>MAX(Vertices[Out-Degree])</f>
        <v>13</v>
      </c>
      <c r="I36" s="44">
        <f>COUNTIF(Vertices[Out-Degree],"&gt;= "&amp;H36)-COUNTIF(Vertices[Out-Degree],"&gt;="&amp;#REF!)</f>
        <v>1</v>
      </c>
      <c r="J36" s="43">
        <f>MAX(Vertices[Betweenness Centrality])</f>
        <v>338</v>
      </c>
      <c r="K36" s="44">
        <f>COUNTIF(Vertices[Betweenness Centrality],"&gt;= "&amp;J36)-COUNTIF(Vertices[Betweenness Centrality],"&gt;="&amp;#REF!)</f>
        <v>1</v>
      </c>
      <c r="L36" s="43">
        <f>MAX(Vertices[Closeness Centrality])</f>
        <v>0.740741</v>
      </c>
      <c r="M36" s="44">
        <f>COUNTIF(Vertices[Closeness Centrality],"&gt;= "&amp;L36)-COUNTIF(Vertices[Closeness Centrality],"&gt;="&amp;#REF!)</f>
        <v>1</v>
      </c>
      <c r="N36" s="43">
        <f>MAX(Vertices[Eigenvector Centrality])</f>
        <v>0.363811</v>
      </c>
      <c r="O36" s="44">
        <f>COUNTIF(Vertices[Eigenvector Centrality],"&gt;= "&amp;N36)-COUNTIF(Vertices[Eigenvector Centrality],"&gt;="&amp;#REF!)</f>
        <v>1</v>
      </c>
      <c r="P36" s="43">
        <f>MAX(Vertices[PageRank])</f>
        <v>0.123765</v>
      </c>
      <c r="Q36" s="44">
        <f>COUNTIF(Vertices[PageRank],"&gt;= "&amp;P36)-COUNTIF(Vertices[PageRank],"&gt;="&amp;#REF!)</f>
        <v>1</v>
      </c>
      <c r="R36" s="43">
        <f>MAX(Vertices[Clustering Coefficient])</f>
        <v>0</v>
      </c>
      <c r="S36" s="47">
        <f>COUNTIF(Vertices[Clustering Coefficient],"&gt;= "&amp;R36)-COUNTIF(Vertices[Clustering Coefficient],"&gt;="&amp;#REF!)</f>
        <v>21</v>
      </c>
      <c r="T36" s="43" t="e">
        <f ca="1">MAX(INDIRECT(DynamicFilterSourceColumnRange))</f>
        <v>#REF!</v>
      </c>
      <c r="U36" s="44" t="e">
        <f ca="1">COUNTIF(INDIRECT(DynamicFilterSourceColumnRange),"&gt;= "&amp;T36)-COUNTIF(INDIRECT(DynamicFilterSourceColumnRange),"&gt;="&amp;#REF!)</f>
        <v>#REF!</v>
      </c>
    </row>
    <row r="37" spans="1:2" ht="15">
      <c r="A37" s="36" t="s">
        <v>277</v>
      </c>
      <c r="B37" s="36"/>
    </row>
    <row r="38" spans="1:2" ht="15">
      <c r="A38" s="36" t="s">
        <v>278</v>
      </c>
      <c r="B38" s="36"/>
    </row>
    <row r="39" spans="1:2" ht="15">
      <c r="A39" s="36" t="s">
        <v>279</v>
      </c>
      <c r="B39" s="36"/>
    </row>
    <row r="40" spans="1:2" ht="15">
      <c r="A40" s="36" t="s">
        <v>21</v>
      </c>
      <c r="B40" s="36"/>
    </row>
    <row r="41" spans="1:2" ht="15">
      <c r="A41" s="36" t="s">
        <v>280</v>
      </c>
      <c r="B41" s="36" t="s">
        <v>34</v>
      </c>
    </row>
    <row r="42" spans="1:2" ht="15">
      <c r="A42" s="36" t="s">
        <v>281</v>
      </c>
      <c r="B42" s="36"/>
    </row>
    <row r="43" spans="1:2" ht="15">
      <c r="A43" s="36" t="s">
        <v>282</v>
      </c>
      <c r="B43" s="36"/>
    </row>
    <row r="60" spans="1:2" ht="15">
      <c r="A60" t="s">
        <v>163</v>
      </c>
      <c r="B60" s="81" t="s">
        <v>17</v>
      </c>
    </row>
    <row r="61" spans="1:2" ht="15">
      <c r="A61" s="35"/>
      <c r="B61" s="36"/>
    </row>
    <row r="66" ht="15"/>
    <row r="67" ht="15"/>
    <row r="68" ht="15"/>
    <row r="69" ht="15"/>
    <row r="70" ht="15"/>
    <row r="71" ht="15"/>
    <row r="72" ht="15"/>
    <row r="73" ht="15"/>
    <row r="74" spans="1:2" ht="15">
      <c r="A74" s="35" t="s">
        <v>81</v>
      </c>
      <c r="B74" s="49" t="str">
        <f>IF(COUNT(Vertices[Degree])&gt;0,D2,NoMetricMessage)</f>
        <v>Not Available</v>
      </c>
    </row>
    <row r="75" spans="1:2" ht="15">
      <c r="A75" s="35" t="s">
        <v>82</v>
      </c>
      <c r="B75" s="49" t="str">
        <f>IF(COUNT(Vertices[Degree])&gt;0,D36,NoMetricMessage)</f>
        <v>Not Available</v>
      </c>
    </row>
    <row r="76" spans="1:2" ht="15">
      <c r="A76" s="35" t="s">
        <v>83</v>
      </c>
      <c r="B76" s="50" t="str">
        <f>_xlfn.IFERROR(AVERAGE(Vertices[Degree]),NoMetricMessage)</f>
        <v>Not Available</v>
      </c>
    </row>
    <row r="77" spans="1:2" ht="15">
      <c r="A77" s="35" t="s">
        <v>84</v>
      </c>
      <c r="B77" s="50" t="str">
        <f>_xlfn.IFERROR(MEDIAN(Vertices[Degree]),NoMetricMessage)</f>
        <v>Not Available</v>
      </c>
    </row>
    <row r="80" ht="15"/>
    <row r="81" ht="15"/>
    <row r="82" ht="15"/>
    <row r="83" ht="15"/>
    <row r="84" ht="15"/>
    <row r="85" ht="15"/>
    <row r="86" ht="15"/>
    <row r="87" ht="15"/>
    <row r="88" spans="1:2" ht="15">
      <c r="A88" s="35" t="s">
        <v>88</v>
      </c>
      <c r="B88" s="49">
        <f>IF(COUNT(Vertices[In-Degree])&gt;0,F2,NoMetricMessage)</f>
        <v>0</v>
      </c>
    </row>
    <row r="89" spans="1:2" ht="15">
      <c r="A89" s="35" t="s">
        <v>89</v>
      </c>
      <c r="B89" s="49">
        <f>IF(COUNT(Vertices[In-Degree])&gt;0,F36,NoMetricMessage)</f>
        <v>1</v>
      </c>
    </row>
    <row r="90" spans="1:2" ht="15">
      <c r="A90" s="35" t="s">
        <v>90</v>
      </c>
      <c r="B90" s="50">
        <f>_xlfn.IFERROR(AVERAGE(Vertices[In-Degree]),NoMetricMessage)</f>
        <v>0.9523809523809523</v>
      </c>
    </row>
    <row r="91" spans="1:2" ht="15">
      <c r="A91" s="35" t="s">
        <v>91</v>
      </c>
      <c r="B91" s="50">
        <f>_xlfn.IFERROR(MEDIAN(Vertices[In-Degree]),NoMetricMessage)</f>
        <v>1</v>
      </c>
    </row>
    <row r="94" ht="15"/>
    <row r="95" ht="15"/>
    <row r="96" ht="15"/>
    <row r="97" ht="15"/>
    <row r="98" ht="15"/>
    <row r="99" ht="15"/>
    <row r="100" ht="15"/>
    <row r="101" ht="15"/>
    <row r="102" spans="1:2" ht="15">
      <c r="A102" s="35" t="s">
        <v>94</v>
      </c>
      <c r="B102" s="49">
        <f>IF(COUNT(Vertices[Out-Degree])&gt;0,H2,NoMetricMessage)</f>
        <v>0</v>
      </c>
    </row>
    <row r="103" spans="1:2" ht="15">
      <c r="A103" s="35" t="s">
        <v>95</v>
      </c>
      <c r="B103" s="49">
        <f>IF(COUNT(Vertices[Out-Degree])&gt;0,H36,NoMetricMessage)</f>
        <v>13</v>
      </c>
    </row>
    <row r="104" spans="1:2" ht="15">
      <c r="A104" s="35" t="s">
        <v>96</v>
      </c>
      <c r="B104" s="50">
        <f>_xlfn.IFERROR(AVERAGE(Vertices[Out-Degree]),NoMetricMessage)</f>
        <v>0.9523809523809523</v>
      </c>
    </row>
    <row r="105" spans="1:2" ht="15">
      <c r="A105" s="35" t="s">
        <v>97</v>
      </c>
      <c r="B105" s="50">
        <f>_xlfn.IFERROR(MEDIAN(Vertices[Out-Degree]),NoMetricMessage)</f>
        <v>0</v>
      </c>
    </row>
    <row r="108" ht="15"/>
    <row r="109" ht="15"/>
    <row r="110" ht="15"/>
    <row r="111" ht="15"/>
    <row r="112" ht="15"/>
    <row r="113" ht="15"/>
    <row r="114" ht="15"/>
    <row r="115" ht="15"/>
    <row r="116" spans="1:2" ht="15">
      <c r="A116" s="35" t="s">
        <v>100</v>
      </c>
      <c r="B116" s="50">
        <f>IF(COUNT(Vertices[Betweenness Centrality])&gt;0,J2,NoMetricMessage)</f>
        <v>0</v>
      </c>
    </row>
    <row r="117" spans="1:2" ht="15">
      <c r="A117" s="35" t="s">
        <v>101</v>
      </c>
      <c r="B117" s="50">
        <f>IF(COUNT(Vertices[Betweenness Centrality])&gt;0,J36,NoMetricMessage)</f>
        <v>338</v>
      </c>
    </row>
    <row r="118" spans="1:2" ht="15">
      <c r="A118" s="35" t="s">
        <v>102</v>
      </c>
      <c r="B118" s="50">
        <f>_xlfn.IFERROR(AVERAGE(Vertices[Betweenness Centrality]),NoMetricMessage)</f>
        <v>27.238095238095237</v>
      </c>
    </row>
    <row r="119" spans="1:2" ht="15">
      <c r="A119" s="35" t="s">
        <v>103</v>
      </c>
      <c r="B119" s="50">
        <f>_xlfn.IFERROR(MEDIAN(Vertices[Betweenness Centrality]),NoMetricMessage)</f>
        <v>0</v>
      </c>
    </row>
    <row r="122" ht="15"/>
    <row r="123" ht="15"/>
    <row r="124" ht="15"/>
    <row r="125" ht="15"/>
    <row r="126" ht="15"/>
    <row r="127" ht="15"/>
    <row r="128" ht="15"/>
    <row r="129" ht="15"/>
    <row r="130" spans="1:2" ht="15">
      <c r="A130" s="35" t="s">
        <v>106</v>
      </c>
      <c r="B130" s="50">
        <f>IF(COUNT(Vertices[Closeness Centrality])&gt;0,L2,NoMetricMessage)</f>
        <v>0.285714</v>
      </c>
    </row>
    <row r="131" spans="1:2" ht="15">
      <c r="A131" s="35" t="s">
        <v>107</v>
      </c>
      <c r="B131" s="50">
        <f>IF(COUNT(Vertices[Closeness Centrality])&gt;0,L36,NoMetricMessage)</f>
        <v>0.740741</v>
      </c>
    </row>
    <row r="132" spans="1:2" ht="15">
      <c r="A132" s="35" t="s">
        <v>108</v>
      </c>
      <c r="B132" s="50">
        <f>_xlfn.IFERROR(AVERAGE(Vertices[Closeness Centrality]),NoMetricMessage)</f>
        <v>0.4365932380952381</v>
      </c>
    </row>
    <row r="133" spans="1:2" ht="15">
      <c r="A133" s="35" t="s">
        <v>109</v>
      </c>
      <c r="B133" s="50">
        <f>_xlfn.IFERROR(MEDIAN(Vertices[Closeness Centrality]),NoMetricMessage)</f>
        <v>0.434783</v>
      </c>
    </row>
    <row r="136" ht="15"/>
    <row r="137" ht="15"/>
    <row r="138" ht="15"/>
    <row r="139" ht="15"/>
    <row r="140" ht="15"/>
    <row r="141" ht="15"/>
    <row r="142" ht="15"/>
    <row r="143" ht="15"/>
    <row r="144" spans="1:2" ht="15">
      <c r="A144" s="35" t="s">
        <v>112</v>
      </c>
      <c r="B144" s="50">
        <f>IF(COUNT(Vertices[Eigenvector Centrality])&gt;0,N2,NoMetricMessage)</f>
        <v>0.026877</v>
      </c>
    </row>
    <row r="145" spans="1:2" ht="15">
      <c r="A145" s="35" t="s">
        <v>113</v>
      </c>
      <c r="B145" s="50">
        <f>IF(COUNT(Vertices[Eigenvector Centrality])&gt;0,N36,NoMetricMessage)</f>
        <v>0.363811</v>
      </c>
    </row>
    <row r="146" spans="1:2" ht="15">
      <c r="A146" s="35" t="s">
        <v>114</v>
      </c>
      <c r="B146" s="50">
        <f>_xlfn.IFERROR(AVERAGE(Vertices[Eigenvector Centrality]),NoMetricMessage)</f>
        <v>0.19161595238095241</v>
      </c>
    </row>
    <row r="147" spans="1:2" ht="15">
      <c r="A147" s="35" t="s">
        <v>115</v>
      </c>
      <c r="B147" s="50">
        <f>_xlfn.IFERROR(MEDIAN(Vertices[Eigenvector Centrality]),NoMetricMessage)</f>
        <v>0.236822</v>
      </c>
    </row>
    <row r="150" ht="15"/>
    <row r="151" ht="15"/>
    <row r="152" ht="15"/>
    <row r="153" ht="15"/>
    <row r="154" ht="15"/>
    <row r="155" ht="15"/>
    <row r="156" ht="15"/>
    <row r="157" ht="15"/>
    <row r="158" spans="1:2" ht="15">
      <c r="A158" s="35" t="s">
        <v>140</v>
      </c>
      <c r="B158" s="50">
        <f>IF(COUNT(Vertices[PageRank])&gt;0,P2,NoMetricMessage)</f>
        <v>0.041802</v>
      </c>
    </row>
    <row r="159" spans="1:2" ht="15">
      <c r="A159" s="35" t="s">
        <v>141</v>
      </c>
      <c r="B159" s="50">
        <f>IF(COUNT(Vertices[PageRank])&gt;0,P36,NoMetricMessage)</f>
        <v>0.123765</v>
      </c>
    </row>
    <row r="160" spans="1:2" ht="15">
      <c r="A160" s="35" t="s">
        <v>142</v>
      </c>
      <c r="B160" s="50">
        <f>_xlfn.IFERROR(AVERAGE(Vertices[PageRank]),NoMetricMessage)</f>
        <v>0.04761919047619049</v>
      </c>
    </row>
    <row r="161" spans="1:2" ht="15">
      <c r="A161" s="35" t="s">
        <v>143</v>
      </c>
      <c r="B161" s="50">
        <f>_xlfn.IFERROR(MEDIAN(Vertices[PageRank]),NoMetricMessage)</f>
        <v>0.041802</v>
      </c>
    </row>
    <row r="164" ht="15"/>
    <row r="165" ht="15"/>
    <row r="166" ht="15"/>
    <row r="167" ht="15"/>
    <row r="168" ht="15"/>
    <row r="169" ht="15"/>
    <row r="170" ht="15"/>
    <row r="171" ht="15"/>
    <row r="172" spans="1:2" ht="15">
      <c r="A172" s="35" t="s">
        <v>118</v>
      </c>
      <c r="B172" s="50">
        <f>IF(COUNT(Vertices[Clustering Coefficient])&gt;0,R2,NoMetricMessage)</f>
        <v>0</v>
      </c>
    </row>
    <row r="173" spans="1:2" ht="15">
      <c r="A173" s="35" t="s">
        <v>119</v>
      </c>
      <c r="B173" s="50">
        <f>IF(COUNT(Vertices[Clustering Coefficient])&gt;0,R36,NoMetricMessage)</f>
        <v>0</v>
      </c>
    </row>
    <row r="174" spans="1:2" ht="15">
      <c r="A174" s="35" t="s">
        <v>120</v>
      </c>
      <c r="B174" s="50">
        <f>_xlfn.IFERROR(AVERAGE(Vertices[Clustering Coefficient]),NoMetricMessage)</f>
        <v>0</v>
      </c>
    </row>
    <row r="175" spans="1:2" ht="15">
      <c r="A175" s="35" t="s">
        <v>121</v>
      </c>
      <c r="B175" s="50">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7">
      <selection activeCell="L7" sqref="L7"/>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409.5">
      <c r="A6">
        <v>0</v>
      </c>
      <c r="B6" s="1" t="s">
        <v>136</v>
      </c>
      <c r="C6">
        <v>1</v>
      </c>
      <c r="D6" t="s">
        <v>59</v>
      </c>
      <c r="E6" t="s">
        <v>59</v>
      </c>
      <c r="F6">
        <v>0</v>
      </c>
      <c r="H6" t="s">
        <v>71</v>
      </c>
      <c r="J6" t="s">
        <v>173</v>
      </c>
      <c r="K6" s="13" t="s">
        <v>265</v>
      </c>
      <c r="R6" t="s">
        <v>129</v>
      </c>
    </row>
    <row r="7" spans="1:11" ht="409.5">
      <c r="A7">
        <v>2</v>
      </c>
      <c r="B7">
        <v>1</v>
      </c>
      <c r="C7">
        <v>0</v>
      </c>
      <c r="D7" t="s">
        <v>60</v>
      </c>
      <c r="E7" t="s">
        <v>60</v>
      </c>
      <c r="F7">
        <v>2</v>
      </c>
      <c r="H7" t="s">
        <v>72</v>
      </c>
      <c r="J7" t="s">
        <v>174</v>
      </c>
      <c r="K7" s="13" t="s">
        <v>300</v>
      </c>
    </row>
    <row r="8" spans="1:11" ht="409.5">
      <c r="A8"/>
      <c r="B8">
        <v>2</v>
      </c>
      <c r="C8">
        <v>2</v>
      </c>
      <c r="D8" t="s">
        <v>61</v>
      </c>
      <c r="E8" t="s">
        <v>61</v>
      </c>
      <c r="H8" t="s">
        <v>73</v>
      </c>
      <c r="J8" t="s">
        <v>175</v>
      </c>
      <c r="K8" s="13" t="s">
        <v>301</v>
      </c>
    </row>
    <row r="9" spans="1:11" ht="409.5">
      <c r="A9"/>
      <c r="B9">
        <v>3</v>
      </c>
      <c r="C9">
        <v>4</v>
      </c>
      <c r="D9" t="s">
        <v>62</v>
      </c>
      <c r="E9" t="s">
        <v>62</v>
      </c>
      <c r="H9" t="s">
        <v>74</v>
      </c>
      <c r="J9" t="s">
        <v>176</v>
      </c>
      <c r="K9" s="13" t="s">
        <v>302</v>
      </c>
    </row>
    <row r="10" spans="1:11" ht="15">
      <c r="A10"/>
      <c r="B10">
        <v>4</v>
      </c>
      <c r="D10" t="s">
        <v>63</v>
      </c>
      <c r="E10" t="s">
        <v>63</v>
      </c>
      <c r="H10" t="s">
        <v>75</v>
      </c>
      <c r="J10" t="s">
        <v>177</v>
      </c>
      <c r="K10" t="s">
        <v>303</v>
      </c>
    </row>
    <row r="11" spans="1:11" ht="15">
      <c r="A11"/>
      <c r="B11">
        <v>5</v>
      </c>
      <c r="D11" t="s">
        <v>46</v>
      </c>
      <c r="E11">
        <v>1</v>
      </c>
      <c r="H11" t="s">
        <v>76</v>
      </c>
      <c r="J11" t="s">
        <v>178</v>
      </c>
      <c r="K11" t="s">
        <v>304</v>
      </c>
    </row>
    <row r="12" spans="1:11" ht="15">
      <c r="A12"/>
      <c r="B12"/>
      <c r="D12" t="s">
        <v>64</v>
      </c>
      <c r="E12">
        <v>2</v>
      </c>
      <c r="H12">
        <v>0</v>
      </c>
      <c r="J12" t="s">
        <v>179</v>
      </c>
      <c r="K12" t="s">
        <v>305</v>
      </c>
    </row>
    <row r="13" spans="1:11" ht="15">
      <c r="A13"/>
      <c r="B13"/>
      <c r="D13">
        <v>1</v>
      </c>
      <c r="E13">
        <v>3</v>
      </c>
      <c r="H13">
        <v>1</v>
      </c>
      <c r="J13" t="s">
        <v>180</v>
      </c>
      <c r="K13" t="s">
        <v>306</v>
      </c>
    </row>
    <row r="14" spans="4:11" ht="15">
      <c r="D14">
        <v>2</v>
      </c>
      <c r="E14">
        <v>4</v>
      </c>
      <c r="H14">
        <v>2</v>
      </c>
      <c r="J14" t="s">
        <v>181</v>
      </c>
      <c r="K14" t="s">
        <v>307</v>
      </c>
    </row>
    <row r="15" spans="4:11" ht="15">
      <c r="D15">
        <v>3</v>
      </c>
      <c r="E15">
        <v>5</v>
      </c>
      <c r="H15">
        <v>3</v>
      </c>
      <c r="J15" t="s">
        <v>182</v>
      </c>
      <c r="K15" t="s">
        <v>308</v>
      </c>
    </row>
    <row r="16" spans="4:11" ht="15">
      <c r="D16">
        <v>4</v>
      </c>
      <c r="E16">
        <v>6</v>
      </c>
      <c r="H16">
        <v>4</v>
      </c>
      <c r="J16" t="s">
        <v>183</v>
      </c>
      <c r="K16" t="s">
        <v>309</v>
      </c>
    </row>
    <row r="17" spans="4:11" ht="15">
      <c r="D17">
        <v>5</v>
      </c>
      <c r="E17">
        <v>7</v>
      </c>
      <c r="H17">
        <v>5</v>
      </c>
      <c r="J17" t="s">
        <v>184</v>
      </c>
      <c r="K17" t="s">
        <v>310</v>
      </c>
    </row>
    <row r="18" spans="4:11" ht="15">
      <c r="D18">
        <v>6</v>
      </c>
      <c r="E18">
        <v>8</v>
      </c>
      <c r="H18">
        <v>6</v>
      </c>
      <c r="J18" t="s">
        <v>185</v>
      </c>
      <c r="K18" t="s">
        <v>311</v>
      </c>
    </row>
    <row r="19" spans="4:11" ht="15">
      <c r="D19">
        <v>7</v>
      </c>
      <c r="E19">
        <v>9</v>
      </c>
      <c r="H19">
        <v>7</v>
      </c>
      <c r="J19" t="s">
        <v>186</v>
      </c>
      <c r="K19" t="s">
        <v>312</v>
      </c>
    </row>
    <row r="20" spans="4:11" ht="409.5">
      <c r="D20">
        <v>8</v>
      </c>
      <c r="H20">
        <v>8</v>
      </c>
      <c r="J20" t="s">
        <v>187</v>
      </c>
      <c r="K20" s="13" t="s">
        <v>313</v>
      </c>
    </row>
    <row r="21" spans="4:11" ht="409.5">
      <c r="D21">
        <v>9</v>
      </c>
      <c r="H21">
        <v>9</v>
      </c>
      <c r="J21" t="s">
        <v>188</v>
      </c>
      <c r="K21" s="13" t="s">
        <v>314</v>
      </c>
    </row>
    <row r="22" spans="4:11" ht="409.5">
      <c r="D22">
        <v>10</v>
      </c>
      <c r="J22" t="s">
        <v>189</v>
      </c>
      <c r="K22" s="13" t="s">
        <v>315</v>
      </c>
    </row>
    <row r="23" spans="4:11" ht="409.5">
      <c r="D23">
        <v>11</v>
      </c>
      <c r="J23" t="s">
        <v>190</v>
      </c>
      <c r="K23" s="13" t="s">
        <v>328</v>
      </c>
    </row>
    <row r="24" spans="10:11" ht="15">
      <c r="J24" t="s">
        <v>191</v>
      </c>
      <c r="K24">
        <v>19</v>
      </c>
    </row>
    <row r="25" spans="10:11" ht="15">
      <c r="J25" t="s">
        <v>193</v>
      </c>
      <c r="K25" t="s">
        <v>299</v>
      </c>
    </row>
    <row r="26" spans="10:11" ht="409.5">
      <c r="J26" t="s">
        <v>194</v>
      </c>
      <c r="K26" s="13" t="s">
        <v>317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36093E-87C0-43E3-80ED-23307C37B4A8}">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284</v>
      </c>
      <c r="B1" s="13" t="s">
        <v>17</v>
      </c>
    </row>
    <row r="2" spans="1:2" ht="15">
      <c r="A2" s="81" t="s">
        <v>285</v>
      </c>
      <c r="B2" s="81"/>
    </row>
    <row r="3" spans="1:2" ht="15">
      <c r="A3" s="82" t="s">
        <v>286</v>
      </c>
      <c r="B3" s="81"/>
    </row>
    <row r="4" spans="1:2" ht="15">
      <c r="A4" s="82" t="s">
        <v>287</v>
      </c>
      <c r="B4" s="81"/>
    </row>
    <row r="5" spans="1:2" ht="15">
      <c r="A5" s="82" t="s">
        <v>288</v>
      </c>
      <c r="B5" s="81"/>
    </row>
    <row r="6" spans="1:2" ht="15">
      <c r="A6" s="82" t="s">
        <v>289</v>
      </c>
      <c r="B6" s="81"/>
    </row>
    <row r="7" spans="1:2" ht="15">
      <c r="A7" s="82" t="s">
        <v>290</v>
      </c>
      <c r="B7" s="81"/>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48E78-03FD-4C32-8258-D022C2E1857C}">
  <dimension ref="A1:B11"/>
  <sheetViews>
    <sheetView workbookViewId="0" topLeftCell="A1">
      <selection activeCell="E17" sqref="E17"/>
    </sheetView>
  </sheetViews>
  <sheetFormatPr defaultColWidth="9.140625" defaultRowHeight="15"/>
  <cols>
    <col min="1" max="1" width="49.7109375" style="0" bestFit="1" customWidth="1"/>
    <col min="2" max="2" width="24.8515625" style="0" bestFit="1" customWidth="1"/>
  </cols>
  <sheetData>
    <row r="1" spans="1:2" ht="15" customHeight="1">
      <c r="A1" s="13" t="s">
        <v>291</v>
      </c>
      <c r="B1" s="13" t="s">
        <v>34</v>
      </c>
    </row>
    <row r="2" spans="1:2" ht="15">
      <c r="A2" s="110" t="s">
        <v>199</v>
      </c>
      <c r="B2" s="81">
        <v>338</v>
      </c>
    </row>
    <row r="3" spans="1:2" ht="15">
      <c r="A3" s="111" t="s">
        <v>201</v>
      </c>
      <c r="B3" s="81">
        <v>196</v>
      </c>
    </row>
    <row r="4" spans="1:2" ht="15">
      <c r="A4" s="111" t="s">
        <v>200</v>
      </c>
      <c r="B4" s="81">
        <v>38</v>
      </c>
    </row>
    <row r="5" spans="1:2" ht="15">
      <c r="A5" s="111" t="s">
        <v>211</v>
      </c>
      <c r="B5" s="81">
        <v>0</v>
      </c>
    </row>
    <row r="6" spans="1:2" ht="15">
      <c r="A6" s="111" t="s">
        <v>213</v>
      </c>
      <c r="B6" s="81">
        <v>0</v>
      </c>
    </row>
    <row r="7" spans="1:2" ht="15">
      <c r="A7" s="111" t="s">
        <v>212</v>
      </c>
      <c r="B7" s="81">
        <v>0</v>
      </c>
    </row>
    <row r="8" spans="1:2" ht="15">
      <c r="A8" s="111" t="s">
        <v>214</v>
      </c>
      <c r="B8" s="81">
        <v>0</v>
      </c>
    </row>
    <row r="9" spans="1:2" ht="15">
      <c r="A9" s="111" t="s">
        <v>216</v>
      </c>
      <c r="B9" s="81">
        <v>0</v>
      </c>
    </row>
    <row r="10" spans="1:2" ht="15">
      <c r="A10" s="111" t="s">
        <v>217</v>
      </c>
      <c r="B10" s="81">
        <v>0</v>
      </c>
    </row>
    <row r="11" spans="1:2" ht="15">
      <c r="A11" s="111" t="s">
        <v>218</v>
      </c>
      <c r="B11" s="81">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986CE35-C595-4563-A2A9-AFD0E7325A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g-manu2208</dc:creator>
  <cp:keywords/>
  <dc:description/>
  <cp:lastModifiedBy>g-manu2208</cp:lastModifiedBy>
  <dcterms:created xsi:type="dcterms:W3CDTF">2008-01-30T00:41:58Z</dcterms:created>
  <dcterms:modified xsi:type="dcterms:W3CDTF">2024-01-19T13:26:23Z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